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comments/comment1.xml" ContentType="application/vnd.openxmlformats-officedocument.spreadsheetml.comments+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codeName="ThisWorkbook"/>
  <bookViews>
    <workbookView visibility="visible" minimized="0" showHorizontalScroll="1" showVerticalScroll="1" showSheetTabs="1" xWindow="2540" yWindow="2540" windowWidth="28800" windowHeight="15910" tabRatio="900" firstSheet="0" activeTab="0" autoFilterDateGrouping="1"/>
  </bookViews>
  <sheets>
    <sheet name="Informant" sheetId="1" state="visible" r:id="rId1"/>
    <sheet name="PACKET" sheetId="2" state="visible" r:id="rId2"/>
    <sheet name="Ver" sheetId="3" state="visible" r:id="rId3"/>
    <sheet name="Blend" sheetId="4" state="visible" r:id="rId4"/>
    <sheet name="Bwl" sheetId="5" state="visible" r:id="rId5"/>
    <sheet name="PC" sheetId="6" state="visible" r:id="rId6"/>
    <sheet name="LA" sheetId="7" state="visible" r:id="rId7"/>
    <sheet name="De" sheetId="8" state="visible" r:id="rId8"/>
    <sheet name="F1" sheetId="9" state="visible" r:id="rId9"/>
    <sheet name="F2" sheetId="10" state="visible" r:id="rId10"/>
    <sheet name="F3" sheetId="11" state="visible" r:id="rId11"/>
    <sheet name="F4" sheetId="12" state="visible" r:id="rId12"/>
    <sheet name="F5" sheetId="13" state="visible" r:id="rId13"/>
    <sheet name="F6" sheetId="14" state="visible" r:id="rId14"/>
    <sheet name="F7" sheetId="15" state="visible" r:id="rId15"/>
    <sheet name="F8" sheetId="16" state="visible" r:id="rId16"/>
    <sheet name="Maint" sheetId="17" state="visible" r:id="rId17"/>
    <sheet name="PSSFCM" sheetId="18" state="hidden" r:id="rId18"/>
    <sheet name="PSSTS" sheetId="19" state="visible" r:id="rId19"/>
    <sheet name="F9" sheetId="20" state="visible" r:id="rId20"/>
    <sheet name="B2" sheetId="21" state="visible" r:id="rId21"/>
    <sheet name="B2Bwl" sheetId="22" state="visible" r:id="rId22"/>
    <sheet name="meta" sheetId="23" state="hidden" r:id="rId23"/>
    <sheet name="Filters" sheetId="24" state="visible" r:id="rId24"/>
  </sheets>
  <definedNames>
    <definedName name="AckFdrAssignmentOnOD">PACKET!$C$13</definedName>
    <definedName name="AmountAdjForRWnTolerance">PACKET!$G$34</definedName>
    <definedName name="AttestDeviationsMatchSched">PACKET!$C$7</definedName>
    <definedName name="AttestJobMatchesSched">PACKET!$C$6</definedName>
    <definedName name="AuthorName">PACKET!$C$5</definedName>
    <definedName name="AuxBlend01Parts">PACKET!$H$113</definedName>
    <definedName name="AuxBlend01RMName">PACKET!$I$113</definedName>
    <definedName name="AuxBlend02Parts">PACKET!$H$114</definedName>
    <definedName name="AuxBlend02RMName">PACKET!$I$114</definedName>
    <definedName name="AuxBlend03Parts">PACKET!$H$115</definedName>
    <definedName name="AuxBlend03RMName">PACKET!$I$115</definedName>
    <definedName name="AuxBlend04Parts">PACKET!$H$116</definedName>
    <definedName name="AuxBlend04RMName">PACKET!$I$116</definedName>
    <definedName name="AuxBlend05Parts">PACKET!$H$117</definedName>
    <definedName name="AuxBlend05RMName">PACKET!$I$117</definedName>
    <definedName name="AuxBlend06Parts">PACKET!$H$118</definedName>
    <definedName name="AuxBlend06RMName">PACKET!$I$118</definedName>
    <definedName name="AuxBlend07Parts">PACKET!$H$119</definedName>
    <definedName name="AuxBlend07RMName">PACKET!$I$119</definedName>
    <definedName name="AuxBlend08Parts">PACKET!$H$120</definedName>
    <definedName name="AuxBlend08RMName">PACKET!$I$120</definedName>
    <definedName name="AuxBlend09Parts">PACKET!$H$121</definedName>
    <definedName name="AuxBlend09RMName">PACKET!$I$121</definedName>
    <definedName name="AuxBlend10Parts">PACKET!$H$122</definedName>
    <definedName name="AuxBlend10RMName">PACKET!$I$122</definedName>
    <definedName name="AuxBlend11Parts">PACKET!$H$123</definedName>
    <definedName name="AuxBlend11RMName">PACKET!$I$123</definedName>
    <definedName name="AuxBlend12Parts">PACKET!$H$124</definedName>
    <definedName name="AuxBlend12RMName">PACKET!$I$124</definedName>
    <definedName name="AuxBlend13Parts">PACKET!$H$125</definedName>
    <definedName name="AuxBlend13RMName">PACKET!$I$125</definedName>
    <definedName name="AuxBlend14Parts">PACKET!$H$126</definedName>
    <definedName name="AuxBlend14RMName">PACKET!$I$126</definedName>
    <definedName name="AuxBlend15Parts">PACKET!$H$127</definedName>
    <definedName name="AuxBlend15RMName">PACKET!$I$127</definedName>
    <definedName name="AuxBlend16Parts">PACKET!$H$128</definedName>
    <definedName name="AuxBlend16RMName">PACKET!$I$128</definedName>
    <definedName name="AuxPBBowlCount">PACKET!$I$133</definedName>
    <definedName name="AuxPBFdrBowlLbs">PACKET!$G$134</definedName>
    <definedName name="AuxPBFdrTotLbs">PACKET!$G$133</definedName>
    <definedName name="AuxPBFeeder">PACKET!$I$134</definedName>
    <definedName name="Blend01Parts">PACKET!$F$15</definedName>
    <definedName name="Blend01RMname">PACKET!$G$15</definedName>
    <definedName name="Blend02Parts">PACKET!$F$16</definedName>
    <definedName name="Blend02RMname">PACKET!$G$16</definedName>
    <definedName name="Blend03Parts">PACKET!$F$17</definedName>
    <definedName name="Blend03RMname">PACKET!$G$17</definedName>
    <definedName name="Blend04Parts">PACKET!$F$18</definedName>
    <definedName name="Blend04RMname">PACKET!$G$18</definedName>
    <definedName name="Blend05Parts">PACKET!$F$19</definedName>
    <definedName name="Blend05RMname">PACKET!$G$19</definedName>
    <definedName name="Blend06Parts">PACKET!$F$20</definedName>
    <definedName name="Blend06RMname">PACKET!$G$20</definedName>
    <definedName name="Blend07Parts">PACKET!$F$21</definedName>
    <definedName name="Blend07RMname">PACKET!$G$21</definedName>
    <definedName name="Blend08Parts">PACKET!$F$22</definedName>
    <definedName name="Blend08RMname">PACKET!$G$22</definedName>
    <definedName name="Blend09Parts">PACKET!$F$23</definedName>
    <definedName name="Blend09RMname">PACKET!$G$23</definedName>
    <definedName name="Blend10Parts">PACKET!$F$24</definedName>
    <definedName name="Blend10RMname">PACKET!$G$24</definedName>
    <definedName name="Blend11Parts">PACKET!$F$25</definedName>
    <definedName name="Blend11RMname">PACKET!$G$25</definedName>
    <definedName name="Blend12Parts">PACKET!$F$26</definedName>
    <definedName name="Blend12RMname">PACKET!$G$26</definedName>
    <definedName name="Blend13Parts">PACKET!$F$27</definedName>
    <definedName name="Blend13RMname">PACKET!$G$27</definedName>
    <definedName name="Blend14Parts">PACKET!$F$28</definedName>
    <definedName name="Blend14RMname">PACKET!$G$28</definedName>
    <definedName name="Blend15Parts">PACKET!$F$29</definedName>
    <definedName name="Blend15RMname">PACKET!$G$29</definedName>
    <definedName name="Blend16Parts">PACKET!$F$30</definedName>
    <definedName name="Blend16RMname">PACKET!$G$30</definedName>
    <definedName name="BowlDuration">PACKET!$G$40</definedName>
    <definedName name="BowlWeight">PACKET!$G$37</definedName>
    <definedName name="CalcSumParts">PACKET!$F$32</definedName>
    <definedName name="ChangeoverCode">PACKET!$C$12</definedName>
    <definedName name="DecimalNumBlendsNeeded">PACKET!$G$38</definedName>
    <definedName name="EnteredSumParts">PACKET!$C$14</definedName>
    <definedName name="Feeder1Parts">PACKET!$F$5</definedName>
    <definedName name="Feeder1RMname">PACKET!$G$5</definedName>
    <definedName name="Feeder2Parts">PACKET!$F$6</definedName>
    <definedName name="Feeder2RMname">PACKET!$G$6</definedName>
    <definedName name="Feeder3Parts">PACKET!$F$7</definedName>
    <definedName name="Feeder3RMname">PACKET!$G$7</definedName>
    <definedName name="Feeder4Parts">PACKET!$F$8</definedName>
    <definedName name="Feeder4RMname">PACKET!$G$8</definedName>
    <definedName name="Feeder5Parts">PACKET!$F$9</definedName>
    <definedName name="Feeder5RMname">PACKET!$G$9</definedName>
    <definedName name="Feeder6Parts">PACKET!$F$10</definedName>
    <definedName name="Feeder6RMname">PACKET!$G$10</definedName>
    <definedName name="Feeder7Parts">PACKET!$F$11</definedName>
    <definedName name="Feeder7RMname">PACKET!$G$11</definedName>
    <definedName name="Feeder8Parts">PACKET!$F$12</definedName>
    <definedName name="Feeder8RMname">PACKET!$G$12</definedName>
    <definedName name="Feeder9Parts">PACKET!$F$13</definedName>
    <definedName name="Feeder9RMname">PACKET!$G$13</definedName>
    <definedName name="GradeColor">PACKET!$C$29</definedName>
    <definedName name="IntegerNumBlendsNeeded">PACKET!$G$39</definedName>
    <definedName name="JobNumber">PACKET!$C$27</definedName>
    <definedName name="LAcampaign">LA!$D$6</definedName>
    <definedName name="LADevn01">LA!$F$8</definedName>
    <definedName name="LADevn02">LA!$F$9</definedName>
    <definedName name="LADevn03">LA!$F$10</definedName>
    <definedName name="LADevn04">LA!$F$11</definedName>
    <definedName name="LADevn05">LA!$F$12</definedName>
    <definedName name="LADevn06">LA!$F$13</definedName>
    <definedName name="LADevn07">LA!$F$14</definedName>
    <definedName name="LADevn08">LA!$F$15</definedName>
    <definedName name="LADevn09">LA!$F$16</definedName>
    <definedName name="LADevn10">LA!$F$17</definedName>
    <definedName name="LADevn11">LA!$F$18</definedName>
    <definedName name="LADevn12">LA!$F$19</definedName>
    <definedName name="LADevn13">LA!$F$20</definedName>
    <definedName name="LADevn14">LA!$F$21</definedName>
    <definedName name="LADevn15">LA!$F$22</definedName>
    <definedName name="LAGCode01">LA!$D$8</definedName>
    <definedName name="LAGCode02">LA!$D$9</definedName>
    <definedName name="LAGCode03">LA!$D$10</definedName>
    <definedName name="LAGCode04">LA!$D$11</definedName>
    <definedName name="LAGCode05">LA!$D$12</definedName>
    <definedName name="LAGCode06">LA!$D$13</definedName>
    <definedName name="LAGCode07">LA!$D$14</definedName>
    <definedName name="LAGCode08">LA!$D$15</definedName>
    <definedName name="LAGCode09">LA!$D$16</definedName>
    <definedName name="LAGCode10">LA!$D$17</definedName>
    <definedName name="LAGCode11">LA!$D$18</definedName>
    <definedName name="LAGCode12">LA!$D$19</definedName>
    <definedName name="LAGCode13">LA!$D$20</definedName>
    <definedName name="LAGCode14">LA!$D$21</definedName>
    <definedName name="LAGCode15">LA!$D$22</definedName>
    <definedName name="LAGradeColor">LA!$A$5</definedName>
    <definedName name="LALbs01">LA!$B$8</definedName>
    <definedName name="LALbs02">LA!$B$9</definedName>
    <definedName name="LALbs03">LA!$B$10</definedName>
    <definedName name="LALbs04">LA!$B$11</definedName>
    <definedName name="LALbs05">LA!$B$12</definedName>
    <definedName name="LALbs06">LA!$B$13</definedName>
    <definedName name="LALbs07">LA!$B$14</definedName>
    <definedName name="LALbs08">LA!$B$15</definedName>
    <definedName name="LALbs09">LA!$B$16</definedName>
    <definedName name="LALbs10">LA!$B$17</definedName>
    <definedName name="LALbs11">LA!$B$18</definedName>
    <definedName name="LALbs12">LA!$B$19</definedName>
    <definedName name="LALbs13">LA!$B$20</definedName>
    <definedName name="LALbs14">LA!$B$21</definedName>
    <definedName name="LALbs15">LA!$B$22</definedName>
    <definedName name="LALot01">LA!$A$8</definedName>
    <definedName name="LALot02">LA!$A$9</definedName>
    <definedName name="LALot03">LA!$A$10</definedName>
    <definedName name="LALot04">LA!$A$11</definedName>
    <definedName name="LALot05">LA!$A$12</definedName>
    <definedName name="LALot06">LA!$A$13</definedName>
    <definedName name="LALot07">LA!$A$14</definedName>
    <definedName name="LALot08">LA!$A$15</definedName>
    <definedName name="LALot09">LA!$A$16</definedName>
    <definedName name="LALot10">LA!$A$17</definedName>
    <definedName name="LALot11">LA!$A$18</definedName>
    <definedName name="LALot12">LA!$A$19</definedName>
    <definedName name="LALot13">LA!$A$20</definedName>
    <definedName name="LALot14">LA!$A$21</definedName>
    <definedName name="LALot15">LA!$A$22</definedName>
    <definedName name="LAProdLine">LA!$C$6</definedName>
    <definedName name="LARCar01">LA!$C$8</definedName>
    <definedName name="LARCar02">LA!$C$9</definedName>
    <definedName name="LARCar03">LA!$C$10</definedName>
    <definedName name="LARCar04">LA!$C$11</definedName>
    <definedName name="LARCar05">LA!$C$12</definedName>
    <definedName name="LARCar06">LA!$C$13</definedName>
    <definedName name="LARCar07">LA!$C$14</definedName>
    <definedName name="LARCar08">LA!$C$15</definedName>
    <definedName name="LARCar09">LA!$C$16</definedName>
    <definedName name="LARCar10">LA!$C$17</definedName>
    <definedName name="LARCar11">LA!$C$18</definedName>
    <definedName name="LARCar12">LA!$C$19</definedName>
    <definedName name="LARCar13">LA!$C$20</definedName>
    <definedName name="LARCar14">LA!$C$21</definedName>
    <definedName name="LARCar15">LA!$C$22</definedName>
    <definedName name="LineRateLbsPerHour">PACKET!$C$19</definedName>
    <definedName name="LotOrCampaignNumber">PACKET!$C$28</definedName>
    <definedName name="MachLbl01">PSSTS!$E$28</definedName>
    <definedName name="MachLbl02">PSSTS!$E$29</definedName>
    <definedName name="MachLbl03">PSSTS!$E$30</definedName>
    <definedName name="MachLbl04">PSSTS!$E$31</definedName>
    <definedName name="MachLbl05">PSSTS!$E$32</definedName>
    <definedName name="MachLbl06">PSSTS!$E$33</definedName>
    <definedName name="MachLbl07">PSSTS!$E$34</definedName>
    <definedName name="MachLbl08">PSSTS!$E$35</definedName>
    <definedName name="MachLbl09">PSSTS!$E$36</definedName>
    <definedName name="MachLbl10">PSSTS!$E$37</definedName>
    <definedName name="MachLbl11">PSSTS!$E$38</definedName>
    <definedName name="MachLbl12">PSSTS!$E$39</definedName>
    <definedName name="MachLbl13">PSSTS!$E$40</definedName>
    <definedName name="MachLbl14">PSSTS!$E$41</definedName>
    <definedName name="MachLbl15">PSSTS!$E$42</definedName>
    <definedName name="MachTol01">PSSTS!$L$28</definedName>
    <definedName name="MachTol02">PSSTS!$L$29</definedName>
    <definedName name="MachTol03">PSSTS!$L$30</definedName>
    <definedName name="MachTol04">PSSTS!$L$31</definedName>
    <definedName name="MachTol05">PSSTS!$L$32</definedName>
    <definedName name="MachTol06">PSSTS!$L$33</definedName>
    <definedName name="MachTol07">PSSTS!$L$34</definedName>
    <definedName name="MachTol08">PSSTS!$L$35</definedName>
    <definedName name="MachTol09">PSSTS!$L$36</definedName>
    <definedName name="MachTol10">PSSTS!$L$37</definedName>
    <definedName name="MachTol11">PSSTS!$L$38</definedName>
    <definedName name="MachTol12">PSSTS!$L$39</definedName>
    <definedName name="MachTol13">PSSTS!$L$40</definedName>
    <definedName name="MachTol14">PSSTS!$L$41</definedName>
    <definedName name="MachTol15">PSSTS!$L$42</definedName>
    <definedName name="MachUnit01">PSSTS!$I$28</definedName>
    <definedName name="MachUnit02">PSSTS!$I$29</definedName>
    <definedName name="MachUnit03">PSSTS!$I$30</definedName>
    <definedName name="MachUnit04">PSSTS!$I$31</definedName>
    <definedName name="MachUnit05">PSSTS!$I$32</definedName>
    <definedName name="MachUnit06">PSSTS!$I$33</definedName>
    <definedName name="MachUnit07">PSSTS!$I$34</definedName>
    <definedName name="MachUnit08">PSSTS!$I$35</definedName>
    <definedName name="MachUnit09">PSSTS!$I$36</definedName>
    <definedName name="MachUnit10">PSSTS!$I$37</definedName>
    <definedName name="MachUnit11">PSSTS!$I$38</definedName>
    <definedName name="MachUnit12">PSSTS!$I$39</definedName>
    <definedName name="MachUnit13">PSSTS!$I$40</definedName>
    <definedName name="MachUnit14">PSSTS!$I$41</definedName>
    <definedName name="MachUnit15">PSSTS!$I$42</definedName>
    <definedName name="MachVal01">PSSTS!$F$28</definedName>
    <definedName name="MachVal02">PSSTS!$F$29</definedName>
    <definedName name="MachVal03">PSSTS!$F$30</definedName>
    <definedName name="MachVal04">PSSTS!$F$31</definedName>
    <definedName name="MachVal05">PSSTS!$F$32</definedName>
    <definedName name="MachVal06">PSSTS!$F$33</definedName>
    <definedName name="MachVal07">PSSTS!$F$34</definedName>
    <definedName name="MachVal08">PSSTS!$F$35</definedName>
    <definedName name="MachVal09">PSSTS!$F$36</definedName>
    <definedName name="MachVal10">PSSTS!$F$37</definedName>
    <definedName name="MachVal11">PSSTS!$F$38</definedName>
    <definedName name="MachVal12">PSSTS!$F$39</definedName>
    <definedName name="MachVal13">PSSTS!$F$40</definedName>
    <definedName name="MachVal14">PSSTS!$F$41</definedName>
    <definedName name="MachVal15">PSSTS!$F$42</definedName>
    <definedName name="MaxAuxPBbowlWt">PACKET!$I$132</definedName>
    <definedName name="MixerTypeTSorFCM">PACKET!$C$24</definedName>
    <definedName name="NumDevWav1">PACKET!$C$9</definedName>
    <definedName name="NumDevWav2">PACKET!$C$10</definedName>
    <definedName name="NumDevWav3">PACKET!$C$11</definedName>
    <definedName name="PBminusPreBlendStaged">PACKET!$G$36</definedName>
    <definedName name="PelLbl01">PSSTS!$T$28</definedName>
    <definedName name="PelLbl02">PSSTS!$T$29</definedName>
    <definedName name="PelLbl03">PSSTS!$T$30</definedName>
    <definedName name="PelLbl04">PSSTS!$T$31</definedName>
    <definedName name="PelLbl05">PSSTS!$T$32</definedName>
    <definedName name="PelLbl06">PSSTS!$T$33</definedName>
    <definedName name="PelLbl07">PSSTS!$T$34</definedName>
    <definedName name="PelLbl08">PSSTS!$T$35</definedName>
    <definedName name="PelLbl09">PSSTS!$T$36</definedName>
    <definedName name="PelLbl10">PSSTS!$T$37</definedName>
    <definedName name="PelLbl11">PSSTS!$T$38</definedName>
    <definedName name="PelLbl12">PSSTS!$T$39</definedName>
    <definedName name="PelLbl13">PSSTS!$T$40</definedName>
    <definedName name="PelLbl14">PSSTS!$T$41</definedName>
    <definedName name="PelLbl15">PSSTS!$T$42</definedName>
    <definedName name="PelletTypeUWorSC">PACKET!$C$22</definedName>
    <definedName name="PelVal01">PSSTS!$U$28</definedName>
    <definedName name="PelVal02">PSSTS!$U$29</definedName>
    <definedName name="PelVal03">PSSTS!$U$30</definedName>
    <definedName name="PelVal04">PSSTS!$U$31</definedName>
    <definedName name="PelVal05">PSSTS!$U$32</definedName>
    <definedName name="PelVal06">PSSTS!$U$33</definedName>
    <definedName name="PelVal07">PSSTS!$U$34</definedName>
    <definedName name="PelVal08">PSSTS!$U$35</definedName>
    <definedName name="PelVal09">PSSTS!$U$36</definedName>
    <definedName name="PelVal10">PSSTS!$U$37</definedName>
    <definedName name="PelVal11">PSSTS!$U$38</definedName>
    <definedName name="PelVal12">PSSTS!$U$39</definedName>
    <definedName name="PelVal13">PSSTS!$U$40</definedName>
    <definedName name="PelVal14">PSSTS!$U$41</definedName>
    <definedName name="PelVal15">PSSTS!$U$42</definedName>
    <definedName name="PktTSDieLbl">PACKET!$I$32</definedName>
    <definedName name="PktTSDieSetPt">PACKET!$J$32</definedName>
    <definedName name="PktTSF1Agit">PACKET!$J$5</definedName>
    <definedName name="PktTSF1CalDriv">PACKET!$M$5</definedName>
    <definedName name="PktTSF1Refill">PACKET!$N$5</definedName>
    <definedName name="PktTSF1Switch">PACKET!$L$5</definedName>
    <definedName name="PktTSF1Tube">PACKET!$K$5</definedName>
    <definedName name="PktTSF2Agit">PACKET!$J$6</definedName>
    <definedName name="PktTSF2CalDriv">PACKET!$M$6</definedName>
    <definedName name="PktTSF2Refill">PACKET!$N$6</definedName>
    <definedName name="PktTSF2Switch">PACKET!$L$6</definedName>
    <definedName name="PktTSF2Tube">PACKET!$K$6</definedName>
    <definedName name="PktTSF3Agit">PACKET!$J$7</definedName>
    <definedName name="PktTSF3CalDriv">PACKET!$M$7</definedName>
    <definedName name="PktTSF3Refill">PACKET!$N$7</definedName>
    <definedName name="PktTSF3Switch">PACKET!$L$7</definedName>
    <definedName name="PktTSF3Tube">PACKET!$K$7</definedName>
    <definedName name="PktTSF4Agit">PACKET!$J$8</definedName>
    <definedName name="PktTSF4CalDriv">PACKET!$M$8</definedName>
    <definedName name="PktTSF4Refill">PACKET!$N$8</definedName>
    <definedName name="PktTSF4Switch">PACKET!$L$8</definedName>
    <definedName name="PktTSF4Tube">PACKET!$K$8</definedName>
    <definedName name="PktTSF5Agit">PACKET!$J$9</definedName>
    <definedName name="PktTSF5CalDriv">PACKET!$M$9</definedName>
    <definedName name="PktTSF5Refill">PACKET!$N$9</definedName>
    <definedName name="PktTSF5Switch">PACKET!$L$9</definedName>
    <definedName name="PktTSF5Tube">PACKET!$K$9</definedName>
    <definedName name="PktTSF6Agit">PACKET!$J$10</definedName>
    <definedName name="PktTSF6CalDriv">PACKET!$M$10</definedName>
    <definedName name="PktTSF6Refill">PACKET!$N$10</definedName>
    <definedName name="PktTSF6Switch">PACKET!$L$10</definedName>
    <definedName name="PktTSF6Tube">PACKET!$K$10</definedName>
    <definedName name="PktTSF7Agit">PACKET!$J$11</definedName>
    <definedName name="PktTSF7CalDriv">PACKET!$M$11</definedName>
    <definedName name="PktTSF7Refill">PACKET!$N$11</definedName>
    <definedName name="PktTSF7Switch">PACKET!$L$11</definedName>
    <definedName name="PktTSF7Tube">PACKET!$K$11</definedName>
    <definedName name="PktTSF8Agit">PACKET!$J$12</definedName>
    <definedName name="PktTSF8CalDriv">PACKET!$M$12</definedName>
    <definedName name="PktTSF8Refill">PACKET!$N$12</definedName>
    <definedName name="PktTSF8Switch">PACKET!$L$12</definedName>
    <definedName name="PktTSF8Tube">PACKET!$K$12</definedName>
    <definedName name="PktTSF9Agit">PACKET!$J$13</definedName>
    <definedName name="PktTSF9CalDriv">PACKET!$M$13</definedName>
    <definedName name="PktTSF9Refill">PACKET!$N$13</definedName>
    <definedName name="PktTSF9Switch">PACKET!$L$13</definedName>
    <definedName name="PktTSF9Tube">PACKET!$K$13</definedName>
    <definedName name="PktTSMachLbl01">PACKET!$K$15</definedName>
    <definedName name="PktTSMachLbl02">PACKET!$K$16</definedName>
    <definedName name="PktTSMachLbl03">PACKET!$K$17</definedName>
    <definedName name="PktTSMachLbl04">PACKET!$K$18</definedName>
    <definedName name="PktTSMachLbl05">PACKET!$K$19</definedName>
    <definedName name="PktTSMachLbl06">PACKET!$K$20</definedName>
    <definedName name="PktTSMachLbl07">PACKET!$K$21</definedName>
    <definedName name="PktTSMachLbl08">PACKET!$K$22</definedName>
    <definedName name="PktTSMachLbl09">PACKET!$K$23</definedName>
    <definedName name="PktTSMachLbl10">PACKET!$K$24</definedName>
    <definedName name="PktTSMachLbl11">PACKET!$K$25</definedName>
    <definedName name="PktTSMachLbl12">PACKET!$K$26</definedName>
    <definedName name="PktTSMachLbl13">PACKET!$K$27</definedName>
    <definedName name="PktTSMachLbl14">PACKET!$K$28</definedName>
    <definedName name="PktTSMachLbl15">PACKET!$K$29</definedName>
    <definedName name="PktTSMachTol01">PACKET!$N$15</definedName>
    <definedName name="PktTSMachTol02">PACKET!$N$16</definedName>
    <definedName name="PktTSMachTol03">PACKET!$N$17</definedName>
    <definedName name="PktTSMachTol04">PACKET!$N$18</definedName>
    <definedName name="PktTSMachTol05">PACKET!$N$19</definedName>
    <definedName name="PktTSMachTol06">PACKET!$N$20</definedName>
    <definedName name="PktTSMachTol07">PACKET!$N$21</definedName>
    <definedName name="PktTSMachTol08">PACKET!$N$22</definedName>
    <definedName name="PktTSMachTol09">PACKET!$N$23</definedName>
    <definedName name="PktTSMachTol10">PACKET!$N$24</definedName>
    <definedName name="PktTSMachTol11">PACKET!$N$25</definedName>
    <definedName name="PktTSMachUnit01">PACKET!$M$15</definedName>
    <definedName name="PktTSMachUnit02">PACKET!$M$16</definedName>
    <definedName name="PktTSMachUnit03">PACKET!$M$17</definedName>
    <definedName name="PktTSMachUnit04">PACKET!$M$18</definedName>
    <definedName name="PktTSMachUnit05">PACKET!$M$19</definedName>
    <definedName name="PktTSMachUnit06">PACKET!$M$20</definedName>
    <definedName name="PktTSMachUnit07">PACKET!$M$21</definedName>
    <definedName name="PktTSMachUnit08">PACKET!$M$22</definedName>
    <definedName name="PktTSMachUnit09">PACKET!$M$23</definedName>
    <definedName name="PktTSMachUnit10">PACKET!$M$24</definedName>
    <definedName name="PktTSMachUnit11">PACKET!$M$25</definedName>
    <definedName name="PktTSMachVal01">PACKET!$L$15</definedName>
    <definedName name="PktTSMachVal02">PACKET!$L$16</definedName>
    <definedName name="PktTSMachVal03">PACKET!$L$17</definedName>
    <definedName name="PktTSMachVal04">PACKET!$L$18</definedName>
    <definedName name="PktTSMachVal05">PACKET!$L$19</definedName>
    <definedName name="PktTSMachVal06">PACKET!$L$20</definedName>
    <definedName name="PktTSMachVal07">PACKET!$L$21</definedName>
    <definedName name="PktTSMachVal08">PACKET!$L$22</definedName>
    <definedName name="PktTSMachVal09">PACKET!$L$23</definedName>
    <definedName name="PktTSMachVal10">PACKET!$L$24</definedName>
    <definedName name="PktTSMachVal11">PACKET!$L$25</definedName>
    <definedName name="PktTSMachVal12">PACKET!$L$26</definedName>
    <definedName name="PktTSMachVal13">PACKET!$L$27</definedName>
    <definedName name="PktTSMachVal14">PACKET!$L$28</definedName>
    <definedName name="PktTSMachVal15">PACKET!$L$29</definedName>
    <definedName name="PktTSPelLbl01">PACKET!$O$15</definedName>
    <definedName name="PktTSPelLbl02">PACKET!$O$16</definedName>
    <definedName name="PktTSPelLbl03">PACKET!$O$17</definedName>
    <definedName name="PktTSPelLbl04">PACKET!$O$18</definedName>
    <definedName name="PktTSPelLbl05">PACKET!$O$19</definedName>
    <definedName name="PktTSPelLbl06">PACKET!$O$20</definedName>
    <definedName name="PktTSPelLbl07">PACKET!$O$21</definedName>
    <definedName name="PktTSPelLbl08">PACKET!$O$22</definedName>
    <definedName name="PktTSPelLbl09">PACKET!$O$23</definedName>
    <definedName name="PktTSPelLbl10">PACKET!$O$24</definedName>
    <definedName name="PktTSPelLbl11">PACKET!$O$25</definedName>
    <definedName name="PktTSPelLbl12">PACKET!$O$26</definedName>
    <definedName name="PktTSPelLbl13">PACKET!$O$27</definedName>
    <definedName name="PktTSPelLbl14">PACKET!$O$28</definedName>
    <definedName name="PktTSPelLbl15">PACKET!$O$29</definedName>
    <definedName name="PktTSPelVal01">PACKET!$P$15</definedName>
    <definedName name="PktTSPelVal02">PACKET!$P$16</definedName>
    <definedName name="PktTSPelVal03">PACKET!$P$17</definedName>
    <definedName name="PktTSPelVal04">PACKET!$P$18</definedName>
    <definedName name="PktTSPelVal05">PACKET!$P$19</definedName>
    <definedName name="PktTSPelVal06">PACKET!$P$20</definedName>
    <definedName name="PktTSPelVal07">PACKET!$P$21</definedName>
    <definedName name="PktTSPelVal08">PACKET!$P$22</definedName>
    <definedName name="PktTSPelVal09">PACKET!$P$23</definedName>
    <definedName name="PktTSPelVal10">PACKET!$P$24</definedName>
    <definedName name="PktTSPelVal11">PACKET!$P$25</definedName>
    <definedName name="PktTSPelVal12">PACKET!$P$26</definedName>
    <definedName name="PktTSPelVal13">PACKET!$P$27</definedName>
    <definedName name="PktTSPelVal14">PACKET!$P$28</definedName>
    <definedName name="PktTSPelVal15">PACKET!$P$29</definedName>
    <definedName name="PktTSZ10Lbl">PACKET!$I$24</definedName>
    <definedName name="PktTSZ10SetPt">PACKET!$J$24</definedName>
    <definedName name="PktTSZ11Lbl">PACKET!$I$25</definedName>
    <definedName name="PktTSZ11SetPt">PACKET!$J$25</definedName>
    <definedName name="PktTSZ12Lbl">PACKET!$I$26</definedName>
    <definedName name="PktTSZ12SetPt">PACKET!$J$26</definedName>
    <definedName name="PktTSZ13Lbl">PACKET!$I$27</definedName>
    <definedName name="PktTSZ13SetPt">PACKET!$J$27</definedName>
    <definedName name="PktTSZ14Lbl">PACKET!$I$28</definedName>
    <definedName name="PktTSZ14SetPt">PACKET!$J$28</definedName>
    <definedName name="PktTSZ15Lbl">PACKET!$I$29</definedName>
    <definedName name="PktTSZ15SetPt">PACKET!$J$29</definedName>
    <definedName name="PktTSZ16Lbl">PACKET!$I$30</definedName>
    <definedName name="PktTSZ16SetPt">PACKET!$J$30</definedName>
    <definedName name="PktTSZ17Lbl">PACKET!$I$31</definedName>
    <definedName name="PktTSZ17SetPt">PACKET!$J$31</definedName>
    <definedName name="PktTSZ1Lbl">PACKET!$I$15</definedName>
    <definedName name="PktTSZ1SetPt">PACKET!$J$15</definedName>
    <definedName name="PktTSZ2Lbl">PACKET!$I$16</definedName>
    <definedName name="PktTSZ2SetPt">PACKET!$J$16</definedName>
    <definedName name="PktTSZ3Lbl">PACKET!$I$17</definedName>
    <definedName name="PktTSZ3SetPt">PACKET!$J$17</definedName>
    <definedName name="PktTSZ4Lbl">PACKET!$I$18</definedName>
    <definedName name="PktTSZ4SetPt">PACKET!$J$18</definedName>
    <definedName name="PktTSZ5Lbl">PACKET!$I$19</definedName>
    <definedName name="PktTSZ5SetPt">PACKET!$J$19</definedName>
    <definedName name="PktTSZ6Lbl">PACKET!$I$20</definedName>
    <definedName name="PktTSZ6SetPt">PACKET!$J$20</definedName>
    <definedName name="PktTSZ7Lbl">PACKET!$I$21</definedName>
    <definedName name="PktTSZ7SetPt">PACKET!$J$21</definedName>
    <definedName name="PktTSZ8Lbl">PACKET!$I$22</definedName>
    <definedName name="PktTSZ8SetPt">PACKET!$J$22</definedName>
    <definedName name="PktTSZ9Lbl">PACKET!$I$23</definedName>
    <definedName name="PktTSZ9SetPt">PACKET!$J$23</definedName>
    <definedName name="PreblendAmtAdjusted">PACKET!$G$35</definedName>
    <definedName name="PreblendMaxWeight">PACKET!$C$31</definedName>
    <definedName name="ProductionLineNumber">PACKET!$C$26</definedName>
    <definedName name="ProductionTolerancePcnt">PACKET!$C$25</definedName>
    <definedName name="RailCarNumber">PACKET!$C$35</definedName>
    <definedName name="RecycleConstraintPercent">PACKET!$C$23</definedName>
    <definedName name="ScheduledAmount">PACKET!$C$30</definedName>
    <definedName name="Screenpack">PACKET!$C$20</definedName>
    <definedName name="ScrewDesign">PACKET!$C$21</definedName>
    <definedName name="SpecialNote">PACKET!$D$45</definedName>
    <definedName name="StagedPreblend">PACKET!$C$33</definedName>
    <definedName name="StagedRework">PACKET!$C$32</definedName>
    <definedName name="SubDEVN01">PACKET!$Q$35</definedName>
    <definedName name="SubDEVN02">PACKET!$Q$36</definedName>
    <definedName name="SubDEVN03">PACKET!$Q$37</definedName>
    <definedName name="SubDEVN04">PACKET!$Q$38</definedName>
    <definedName name="SubDEVN05">PACKET!$Q$39</definedName>
    <definedName name="SubDEVN06">PACKET!$Q$40</definedName>
    <definedName name="SubDEVN07">PACKET!$Q$41</definedName>
    <definedName name="SubDEVN08">PACKET!$Q$42</definedName>
    <definedName name="SubDEVN09">PACKET!$Q$43</definedName>
    <definedName name="SubDEVN10">PACKET!$Q$44</definedName>
    <definedName name="SubDEVN11">PACKET!$Q$45</definedName>
    <definedName name="SubDEVN12">PACKET!$Q$46</definedName>
    <definedName name="SubDEVN13">PACKET!$Q$47</definedName>
    <definedName name="SubDEVN14">PACKET!$Q$48</definedName>
    <definedName name="SubDEVN15">PACKET!$Q$49</definedName>
    <definedName name="SubGCode01">PACKET!$P$35</definedName>
    <definedName name="SubGCode02">PACKET!$P$36</definedName>
    <definedName name="SubGCode03">PACKET!$P$37</definedName>
    <definedName name="SubGCode04">PACKET!$P$38</definedName>
    <definedName name="SubGCode05">PACKET!$P$39</definedName>
    <definedName name="SubGCode06">PACKET!$P$40</definedName>
    <definedName name="SubGCode07">PACKET!$P$41</definedName>
    <definedName name="SubGCode08">PACKET!$P$42</definedName>
    <definedName name="SubGCode09">PACKET!$P$43</definedName>
    <definedName name="SubGCode10">PACKET!$P$44</definedName>
    <definedName name="SubGCode11">PACKET!$P$45</definedName>
    <definedName name="SubGCode12">PACKET!$P$46</definedName>
    <definedName name="SubGCode13">PACKET!$P$47</definedName>
    <definedName name="SubGCode14">PACKET!$P$48</definedName>
    <definedName name="SubGCode15">PACKET!$P$49</definedName>
    <definedName name="SubLotn01">PACKET!$L$35</definedName>
    <definedName name="SubLotn02">PACKET!$L$36</definedName>
    <definedName name="SubLotn03">PACKET!$L$37</definedName>
    <definedName name="SubLotn04">PACKET!$L$38</definedName>
    <definedName name="SubLotn05">PACKET!$L$39</definedName>
    <definedName name="SubLotn06">PACKET!$L$40</definedName>
    <definedName name="SubLotn07">PACKET!$L$41</definedName>
    <definedName name="SubLotn08">PACKET!$L$42</definedName>
    <definedName name="SubLotn09">PACKET!$L$43</definedName>
    <definedName name="SubLotn10">PACKET!$L$44</definedName>
    <definedName name="SubLotn11">PACKET!$L$45</definedName>
    <definedName name="SubLotn12">PACKET!$L$46</definedName>
    <definedName name="SubLotn13">PACKET!$L$47</definedName>
    <definedName name="SubLotn14">PACKET!$L$48</definedName>
    <definedName name="SubLotn15">PACKET!$L$49</definedName>
    <definedName name="SubPkg01">PACKET!$N$35</definedName>
    <definedName name="SubPkg02">PACKET!$N$36</definedName>
    <definedName name="SubPkg03">PACKET!$N$37</definedName>
    <definedName name="SubPkg04">PACKET!$N$38</definedName>
    <definedName name="SubPkg05">PACKET!$N$39</definedName>
    <definedName name="SubPkg06">PACKET!$N$40</definedName>
    <definedName name="SubPkg07">PACKET!$N$41</definedName>
    <definedName name="SubPkg08">PACKET!$N$42</definedName>
    <definedName name="SubPkg09">PACKET!$N$43</definedName>
    <definedName name="SubPkg10">PACKET!$N$44</definedName>
    <definedName name="SubPkg11">PACKET!$N$45</definedName>
    <definedName name="SubPkg12">PACKET!$N$46</definedName>
    <definedName name="SubPkg13">PACKET!$N$47</definedName>
    <definedName name="SubPkg14">PACKET!$N$48</definedName>
    <definedName name="SubPkg15">PACKET!$N$49</definedName>
    <definedName name="SubRCar01">PACKET!$O$35</definedName>
    <definedName name="SubRCar02">PACKET!$O$36</definedName>
    <definedName name="SubRCar03">PACKET!$O$37</definedName>
    <definedName name="SubRCar04">PACKET!$O$38</definedName>
    <definedName name="SubRCar05">PACKET!$O$39</definedName>
    <definedName name="SubRCar06">PACKET!$O$40</definedName>
    <definedName name="SubRCar07">PACKET!$O$41</definedName>
    <definedName name="SubRCar08">PACKET!$O$42</definedName>
    <definedName name="SubRCar09">PACKET!$O$43</definedName>
    <definedName name="SubRCar10">PACKET!$O$44</definedName>
    <definedName name="SubRCar11">PACKET!$O$45</definedName>
    <definedName name="SubRCar12">PACKET!$O$46</definedName>
    <definedName name="SubRCar13">PACKET!$O$47</definedName>
    <definedName name="SubRCar14">PACKET!$O$48</definedName>
    <definedName name="SubRCar15">PACKET!$O$49</definedName>
    <definedName name="SubSize01">PACKET!$M$35</definedName>
    <definedName name="SubSize02">PACKET!$M$36</definedName>
    <definedName name="SubSize03">PACKET!$M$37</definedName>
    <definedName name="SubSize04">PACKET!$M$38</definedName>
    <definedName name="SubSize05">PACKET!$M$39</definedName>
    <definedName name="SubSize06">PACKET!$M$40</definedName>
    <definedName name="SubSize07">PACKET!$M$41</definedName>
    <definedName name="SubSize08">PACKET!$M$42</definedName>
    <definedName name="SubSize09">PACKET!$M$43</definedName>
    <definedName name="SubSize10">PACKET!$M$44</definedName>
    <definedName name="SubSize11">PACKET!$M$45</definedName>
    <definedName name="SubSize12">PACKET!$M$46</definedName>
    <definedName name="SubSize13">PACKET!$M$47</definedName>
    <definedName name="SubSize14">PACKET!$M$48</definedName>
    <definedName name="SubSize15">PACKET!$M$49</definedName>
    <definedName name="SumBOMParts">PACKET!$C$14</definedName>
    <definedName name="talcRuleExcepted">PACKET!$I$11</definedName>
    <definedName name="TSAmtScheduled">PSSTS!$Z$3</definedName>
    <definedName name="TSCheckedBy">PSSTS!$AO$3</definedName>
    <definedName name="TSDesc">PSSTS!$D$4</definedName>
    <definedName name="TSDieLbl">PSSTS!$A$26</definedName>
    <definedName name="TSDieSetPt">PSSTS!$C$26</definedName>
    <definedName name="TSF1Agit">PSSTS!$X$9</definedName>
    <definedName name="TSF1CalDriv">PSSTS!$AD$9</definedName>
    <definedName name="TSF1Matl">PSSTS!$N$9</definedName>
    <definedName name="TSF1Pcnt">PSSTS!$U$9</definedName>
    <definedName name="TSF1Refill">PSSTS!$AG$9</definedName>
    <definedName name="TSF1Switch">PSSTS!$AA$9</definedName>
    <definedName name="TSF1Tube">PSSTS!$Z$9</definedName>
    <definedName name="TSF2Agit">PSSTS!$X$11</definedName>
    <definedName name="TSF2CalDriv">PSSTS!$AD$11</definedName>
    <definedName name="TSF2Matl">PSSTS!$N$11</definedName>
    <definedName name="TSF2Pcnt">PSSTS!$U$11</definedName>
    <definedName name="TSF2Refill">PSSTS!$AG$11</definedName>
    <definedName name="TSF2Switch">PSSTS!$AA$11</definedName>
    <definedName name="TSF2Tube">PSSTS!$Z$11</definedName>
    <definedName name="TSF3Agit">PSSTS!$X$13</definedName>
    <definedName name="TSF3CalDriv">PSSTS!$AD$13</definedName>
    <definedName name="TSF3Matl">PSSTS!$N$13</definedName>
    <definedName name="TSF3Pcnt">PSSTS!$U$13</definedName>
    <definedName name="TSF3Refill">PSSTS!$AG$13</definedName>
    <definedName name="TSF3Switch">PSSTS!$AA$13</definedName>
    <definedName name="TSF3Tube">PSSTS!$Z$13</definedName>
    <definedName name="TSF4Agit">PSSTS!$X$15</definedName>
    <definedName name="TSF4CalDriv">PSSTS!$AD$15</definedName>
    <definedName name="TSF4Matl">PSSTS!$N$15</definedName>
    <definedName name="TSF4Pcnt">PSSTS!$U$15</definedName>
    <definedName name="TSF4Refill">PSSTS!$AG$15</definedName>
    <definedName name="TSF4Switch">PSSTS!$AA$15</definedName>
    <definedName name="TSF4Tube">PSSTS!$Z$15</definedName>
    <definedName name="TSF5Agit">PSSTS!$X$17</definedName>
    <definedName name="TSF5CalDriv">PSSTS!$AD$17</definedName>
    <definedName name="TSF5Matl">PSSTS!$N$17</definedName>
    <definedName name="TSF5Pcnt">PSSTS!$U$17</definedName>
    <definedName name="TSF5Refill">PSSTS!$AG$17</definedName>
    <definedName name="TSF5Switch">PSSTS!$AA$17</definedName>
    <definedName name="TSF5Tube">PSSTS!$Z$17</definedName>
    <definedName name="TSF6Agit">PSSTS!$X$19</definedName>
    <definedName name="TSF6CalDriv">PSSTS!$AD$19</definedName>
    <definedName name="TSF6Matl">PSSTS!$N$19</definedName>
    <definedName name="TSF6Pcnt">PSSTS!$U$19</definedName>
    <definedName name="TSF6Refill">PSSTS!$AG$19</definedName>
    <definedName name="TSF6Switch">PSSTS!$AA$19</definedName>
    <definedName name="TSF6Tube">PSSTS!$Z$19</definedName>
    <definedName name="TSF7Agit">PSSTS!$X$21</definedName>
    <definedName name="TSF7CalDriv">PSSTS!$AD$21</definedName>
    <definedName name="TSF7Matl">PSSTS!$N$21</definedName>
    <definedName name="TSF7Pcnt">PSSTS!$U$21</definedName>
    <definedName name="TSF7Refill">PSSTS!$AG$21</definedName>
    <definedName name="TSF7Switch">PSSTS!$AA$21</definedName>
    <definedName name="TSF7Tube">PSSTS!$Z$21</definedName>
    <definedName name="TSF8Agit">PSSTS!$X$23</definedName>
    <definedName name="TSF8CalDriv">PSSTS!$AD$23</definedName>
    <definedName name="TSF8Matl">PSSTS!$N$23</definedName>
    <definedName name="TSF8Pcnt">PSSTS!$U$23</definedName>
    <definedName name="TSF8Refill">PSSTS!$AG$23</definedName>
    <definedName name="TSF8Switch">PSSTS!$AA$23</definedName>
    <definedName name="TSF8Tube">PSSTS!$Z$23</definedName>
    <definedName name="TSF9Agit">PSSTS!$X$25</definedName>
    <definedName name="TSF9CalDriv">PSSTS!$AD$25</definedName>
    <definedName name="TSF9Matl">PSSTS!$N$25</definedName>
    <definedName name="TSF9Pcnt">PSSTS!$U$25</definedName>
    <definedName name="TSF9Refill">PSSTS!$AG$25</definedName>
    <definedName name="TSF9Switch">PSSTS!$AA$25</definedName>
    <definedName name="TSF9Tube">PSSTS!$Z$25</definedName>
    <definedName name="TSGradeCol">PSSTS!$D$3</definedName>
    <definedName name="TSJobNumber">PSSTS!$S$4</definedName>
    <definedName name="TSLotNumber">PSSTS!$Z$4</definedName>
    <definedName name="TSPreparedBy">PSSTS!$AI$3</definedName>
    <definedName name="TSProductionLine">PSSTS!$S$3</definedName>
    <definedName name="TSSpecialNote">PSSTS!$AA$28</definedName>
    <definedName name="TSTimeStamp">PSSTS!$AP$2</definedName>
    <definedName name="TSZ10Lbl">PSSTS!$A$18</definedName>
    <definedName name="TSZ10SetPt">PSSTS!$C$18</definedName>
    <definedName name="TSZ11Lbl">PSSTS!$A$19</definedName>
    <definedName name="TSZ11SetPt">PSSTS!$C$19</definedName>
    <definedName name="TSZ12Lbl">PSSTS!$A$20</definedName>
    <definedName name="TSZ12SetPt">PSSTS!$C$20</definedName>
    <definedName name="TSZ13Lbl">PSSTS!$A$21</definedName>
    <definedName name="TSZ13SetPt">PSSTS!$C$21</definedName>
    <definedName name="TSZ14Lbl">PSSTS!$A$22</definedName>
    <definedName name="TSZ14SetPt">PSSTS!$C$22</definedName>
    <definedName name="TSZ15Lbl">PSSTS!$A$23</definedName>
    <definedName name="TSZ15SetPt">PSSTS!$C$23</definedName>
    <definedName name="TSZ16Lbl">PSSTS!$A$24</definedName>
    <definedName name="TSZ16SetPt">PSSTS!$C$24</definedName>
    <definedName name="TSZ17Lbl">PSSTS!$A$25</definedName>
    <definedName name="TSZ17SetPt">PSSTS!$C$25</definedName>
    <definedName name="TSZ1Lbl">PSSTS!$A$9</definedName>
    <definedName name="TSZ1SetPt">PSSTS!$C$9</definedName>
    <definedName name="TSZ2Lbl">PSSTS!$A$10</definedName>
    <definedName name="TSZ2SetPt">PSSTS!$C$10</definedName>
    <definedName name="TSZ3Lbl">PSSTS!$A$11</definedName>
    <definedName name="TSZ3SetPt">PSSTS!$C$11</definedName>
    <definedName name="TSZ4Lbl">PSSTS!$A$12</definedName>
    <definedName name="TSZ4SetPt">PSSTS!$C$12</definedName>
    <definedName name="TSZ5Lbl">PSSTS!$A$13</definedName>
    <definedName name="TSZ5SetPt">PSSTS!$C$13</definedName>
    <definedName name="TSZ6Lbl">PSSTS!$A$14</definedName>
    <definedName name="TSZ6SetPt">PSSTS!$C$14</definedName>
    <definedName name="TSZ7Lbl">PSSTS!$A$15</definedName>
    <definedName name="TSZ7SetPt">PSSTS!$C$15</definedName>
    <definedName name="TSZ8Lbl">PSSTS!$A$16</definedName>
    <definedName name="TSZ8SetPt">PSSTS!$C$16</definedName>
    <definedName name="TSZ9Lbl">PSSTS!$A$17</definedName>
    <definedName name="TSZ9SetPt">PSSTS!$C$17</definedName>
    <definedName name="zDiff_AuxBlend01Parts">PACKET!$G$113</definedName>
    <definedName name="zDiff_AuxBlend01RMName">PACKET!$J$113</definedName>
    <definedName name="zDiff_AuxBlend02Parts">PACKET!$G$114</definedName>
    <definedName name="zDiff_AuxBlend02RMName">PACKET!$J$114</definedName>
    <definedName name="zDiff_AuxBlend03Parts">PACKET!$G$115</definedName>
    <definedName name="zDiff_AuxBlend03RMName">PACKET!$J$115</definedName>
    <definedName name="zDiff_AuxBlend04Parts">PACKET!$G$116</definedName>
    <definedName name="zDiff_AuxBlend04RMName">PACKET!$J$116</definedName>
    <definedName name="zDiff_AuxBlend05Parts">PACKET!$G$117</definedName>
    <definedName name="zDiff_AuxBlend05RMName">PACKET!$J$117</definedName>
    <definedName name="zDiff_AuxBlend06Parts">PACKET!$G$118</definedName>
    <definedName name="zDiff_AuxBlend06RMName">PACKET!$J$118</definedName>
    <definedName name="zDiff_AuxBlend07Parts">PACKET!$G$119</definedName>
    <definedName name="zDiff_AuxBlend07RMName">PACKET!$J$119</definedName>
    <definedName name="zDiff_AuxBlend08Parts">PACKET!$G$120</definedName>
    <definedName name="zDiff_AuxBlend08RMName">PACKET!$J$120</definedName>
    <definedName name="zDiff_AuxBlend09Parts">PACKET!$G$121</definedName>
    <definedName name="zDiff_AuxBlend09RMName">PACKET!$J$121</definedName>
    <definedName name="zDiff_AuxBlend10Parts">PACKET!$G$122</definedName>
    <definedName name="zDiff_AuxBlend10RMName">PACKET!$J$122</definedName>
    <definedName name="zDiff_AuxBlend11Parts">PACKET!$G$123</definedName>
    <definedName name="zDiff_AuxBlend11RMName">PACKET!$J$123</definedName>
    <definedName name="zDiff_AuxBlend12Parts">PACKET!$G$124</definedName>
    <definedName name="zDiff_AuxBlend12RMName">PACKET!$J$124</definedName>
    <definedName name="zDiff_AuxBlend13Parts">PACKET!$G$125</definedName>
    <definedName name="zDiff_AuxBlend13RMName">PACKET!$J$125</definedName>
    <definedName name="zDiff_AuxBlend14Parts">PACKET!$G$126</definedName>
    <definedName name="zDiff_AuxBlend14RMName">PACKET!$J$126</definedName>
    <definedName name="zDiff_AuxBlend15Parts">PACKET!$G$127</definedName>
    <definedName name="zDiff_AuxBlend15RMName">PACKET!$J$127</definedName>
    <definedName name="zDiff_AuxBlend16Parts">PACKET!$G$128</definedName>
    <definedName name="zDiff_AuxBlend16RMName">PACKET!$J$128</definedName>
    <definedName name="zDiff_Blend01Parts">PACKET!$E$15</definedName>
    <definedName name="zDiff_Blend01RMname">PACKET!$H$15</definedName>
    <definedName name="zDiff_Blend02Parts">PACKET!$E$16</definedName>
    <definedName name="zDiff_Blend02RMname">PACKET!$H$16</definedName>
    <definedName name="zDiff_Blend03Parts">PACKET!$E$17</definedName>
    <definedName name="zDiff_Blend03RMname">PACKET!$H$17</definedName>
    <definedName name="zDiff_Blend04Parts">PACKET!$E$18</definedName>
    <definedName name="zDiff_Blend04RMname">PACKET!$H$18</definedName>
    <definedName name="zDiff_Blend05Parts">PACKET!$E$19</definedName>
    <definedName name="zDiff_Blend05RMname">PACKET!$H$19</definedName>
    <definedName name="zDiff_Blend06Parts">PACKET!$E$20</definedName>
    <definedName name="zDiff_Blend06RMname">PACKET!$H$20</definedName>
    <definedName name="zDiff_Blend07Parts">PACKET!$E$21</definedName>
    <definedName name="zDiff_Blend07RMname">PACKET!$H$21</definedName>
    <definedName name="zDiff_Blend08Parts">PACKET!$E$22</definedName>
    <definedName name="zDiff_Blend08RMname">PACKET!$H$22</definedName>
    <definedName name="zDiff_Blend09Parts">PACKET!$E$23</definedName>
    <definedName name="zDiff_Blend09RMname">PACKET!$H$23</definedName>
    <definedName name="zDiff_Blend10Parts">PACKET!$E$24</definedName>
    <definedName name="zDiff_Blend10RMname">PACKET!$H$24</definedName>
    <definedName name="zDiff_Blend11Parts">PACKET!$E$25</definedName>
    <definedName name="zDiff_Blend11RMname">PACKET!$H$25</definedName>
    <definedName name="zDiff_Blend12Parts">PACKET!$E$26</definedName>
    <definedName name="zDiff_Blend12RMname">PACKET!$H$26</definedName>
    <definedName name="zDiff_Blend13Parts">PACKET!$E$27</definedName>
    <definedName name="zDiff_Blend13RMname">PACKET!$H$27</definedName>
    <definedName name="zDiff_Blend14Parts">PACKET!$E$28</definedName>
    <definedName name="zDiff_Blend14RMname">PACKET!$H$28</definedName>
    <definedName name="zDiff_Blend15Parts">PACKET!$E$29</definedName>
    <definedName name="zDiff_Blend15RMname">PACKET!$H$29</definedName>
    <definedName name="zDiff_Blend16Parts">PACKET!$E$30</definedName>
    <definedName name="zDiff_Blend16RMname">PACKET!$H$30</definedName>
    <definedName name="zDiff_EnteredSumParts">PACKET!$B$14</definedName>
    <definedName name="zDiff_Feeder1Parts">PACKET!$E$5</definedName>
    <definedName name="zDiff_Feeder1RMname">PACKET!$H$5</definedName>
    <definedName name="zDiff_Feeder2Parts">PACKET!$E$6</definedName>
    <definedName name="zDiff_Feeder2RMname">PACKET!$H$6</definedName>
    <definedName name="zDiff_Feeder3Parts">PACKET!$E$7</definedName>
    <definedName name="zDiff_Feeder3RMname">PACKET!$H$7</definedName>
    <definedName name="zDiff_Feeder4Parts">PACKET!$E$8</definedName>
    <definedName name="zDiff_Feeder4RMname">PACKET!$H$8</definedName>
    <definedName name="zDiff_Feeder5Parts">PACKET!$E$9</definedName>
    <definedName name="zDiff_Feeder5RMname">PACKET!$H$9</definedName>
    <definedName name="zDiff_Feeder6Parts">PACKET!$E$10</definedName>
    <definedName name="zDiff_Feeder6RMname">PACKET!$H$10</definedName>
    <definedName name="zDiff_Feeder7Parts">PACKET!$E$11</definedName>
    <definedName name="zDiff_Feeder7RMname">PACKET!$H$11</definedName>
    <definedName name="zDiff_Feeder8Parts">PACKET!$E$12</definedName>
    <definedName name="zDiff_Feeder8RMname">PACKET!$H$12</definedName>
    <definedName name="zDiff_Feeder9Parts">PACKET!$E$13</definedName>
    <definedName name="zDiff_Feeder9RMname">PACKET!$H$13</definedName>
    <definedName name="zDiff_GradeColor">PACKET!$B$29</definedName>
    <definedName name="zDiff_JobNumber">PACKET!$B$27</definedName>
    <definedName name="zDiff_LineRateLbsPerHour">PACKET!$B$19</definedName>
    <definedName name="zDiff_LotOrCampaignNumber">PACKET!$B$28</definedName>
    <definedName name="zDiff_MixerTypeTSorFCM">PACKET!$B$24</definedName>
    <definedName name="zDiff_PelletTypeUWorSC">PACKET!$B$22</definedName>
    <definedName name="zDiff_PreblendMaxWeight">PACKET!$B$31</definedName>
    <definedName name="zDiff_ProductionLineNumber">PACKET!$B$26</definedName>
    <definedName name="zDiff_ProductionTolerencePcnt">PACKET!$B$25</definedName>
    <definedName name="zDiff_RailCarNumber">PACKET!$B$35</definedName>
    <definedName name="zDiff_RecycleConstraintPercent">PACKET!$B$23</definedName>
    <definedName name="zDiff_ScheduledAmount">PACKET!$B$30</definedName>
    <definedName name="zDiff_Screenpack">PACKET!$B$20</definedName>
    <definedName name="zDiff_ScrewDesign">PACKET!$B$21</definedName>
    <definedName name="zDiff_StagedRework">PACKET!$B$32</definedName>
    <definedName name="zDiff_SubLotn01">PACKET!$K$35</definedName>
    <definedName name="zDiff_SubLotn02">PACKET!$K$36</definedName>
    <definedName name="zDiff_SubLotn03">PACKET!$K$37</definedName>
    <definedName name="zDiff_SubLotn04">PACKET!$K$38</definedName>
    <definedName name="zDiff_SubLotn05">PACKET!$K$39</definedName>
    <definedName name="zDiff_SubLotn06">PACKET!$K$40</definedName>
    <definedName name="zDiff_SubLotn07">PACKET!$K$41</definedName>
    <definedName name="zDiff_SubLotn08">PACKET!$K$42</definedName>
    <definedName name="zDiff_SubLotn09">PACKET!$K$43</definedName>
    <definedName name="zDiff_SubLotn10">PACKET!$K$44</definedName>
    <definedName name="zDiff_SubLotn11">PACKET!$K$45</definedName>
    <definedName name="zDiff_SubLotn12">PACKET!$K$46</definedName>
    <definedName name="zDiff_SubLotn13">PACKET!$K$47</definedName>
    <definedName name="zDiff_SubLotn14">PACKET!$K$48</definedName>
    <definedName name="zDiff_SubLotn15">PACKET!$K$49</definedName>
    <definedName name="_xlnm.Print_Area" localSheetId="1">'PACKET'!$A$1:$Q$55</definedName>
    <definedName name="_xlnm.Print_Area" localSheetId="2">'Ver'!$A$1:$H$42</definedName>
    <definedName name="_xlnm.Print_Area" localSheetId="3">'Blend'!$A$1:$Q$69</definedName>
    <definedName name="_xlnm.Print_Area" localSheetId="5">'PC'!$A$1:$Q$19</definedName>
    <definedName name="_xlnm.Print_Area" localSheetId="6">'LA'!$A$1:$G$22</definedName>
    <definedName name="_xlnm.Print_Area" localSheetId="8">'F1'!$A$1:$L$53</definedName>
    <definedName name="_xlnm.Print_Area" localSheetId="9">'F2'!$A$1:$L$53</definedName>
    <definedName name="_xlnm.Print_Area" localSheetId="10">'F3'!$A$1:$L$53</definedName>
    <definedName name="_xlnm.Print_Area" localSheetId="11">'F4'!$A$1:$L$53</definedName>
    <definedName name="_xlnm.Print_Area" localSheetId="12">'F5'!$A$1:$L$53</definedName>
    <definedName name="_xlnm.Print_Area" localSheetId="13">'F6'!$A$1:$L$53</definedName>
    <definedName name="_xlnm.Print_Area" localSheetId="14">'F7'!$A$1:$L$53</definedName>
    <definedName name="_xlnm.Print_Area" localSheetId="15">'F8'!$A$1:$L$53</definedName>
    <definedName name="_xlnm.Print_Area" localSheetId="16">'Maint'!$A$1:$G$46</definedName>
    <definedName name="_xlnm.Print_Area" localSheetId="17">'PSSFCM'!$A$1:$AR$42</definedName>
    <definedName name="_xlnm.Print_Area" localSheetId="18">'PSSTS'!$A$1:$AR$42</definedName>
    <definedName name="_xlnm.Print_Area" localSheetId="19">'F9'!$A$1:$L$53</definedName>
    <definedName name="_xlnm.Print_Area" localSheetId="20">'B2'!$A$1:$Q$69</definedName>
  </definedNames>
  <calcPr calcId="191029" fullCalcOnLoad="1" iterateDelta="0.0001"/>
</workbook>
</file>

<file path=xl/styles.xml><?xml version="1.0" encoding="utf-8"?>
<styleSheet xmlns="http://schemas.openxmlformats.org/spreadsheetml/2006/main">
  <numFmts count="9">
    <numFmt numFmtId="164" formatCode="0.0"/>
    <numFmt numFmtId="165" formatCode="0.0000"/>
    <numFmt numFmtId="166" formatCode="0.000"/>
    <numFmt numFmtId="167" formatCode="0.000000"/>
    <numFmt numFmtId="168" formatCode="_(* #,##0_);_(* \(#,##0\);_(* &quot;-&quot;??_);_(@_)"/>
    <numFmt numFmtId="169" formatCode="mm/dd/yyyy;@"/>
    <numFmt numFmtId="170" formatCode="hh:mm:ss AM/PM"/>
    <numFmt numFmtId="171" formatCode="yyyy-mm-dd h:mm:ss"/>
    <numFmt numFmtId="172" formatCode="#,##0.0000"/>
  </numFmts>
  <fonts count="132">
    <font>
      <name val="Arial"/>
      <sz val="10"/>
    </font>
    <font>
      <name val="Calibri"/>
      <family val="2"/>
      <color theme="1"/>
      <sz val="11"/>
      <scheme val="minor"/>
    </font>
    <font>
      <name val="Arial"/>
      <family val="2"/>
      <sz val="10"/>
    </font>
    <font>
      <name val="Arial"/>
      <family val="2"/>
      <b val="1"/>
      <sz val="10"/>
    </font>
    <font>
      <name val="Arial"/>
      <family val="2"/>
      <i val="1"/>
      <sz val="10"/>
    </font>
    <font>
      <name val="Arial"/>
      <family val="2"/>
      <color indexed="8"/>
      <sz val="10"/>
    </font>
    <font>
      <name val="Arial"/>
      <family val="2"/>
      <b val="1"/>
      <sz val="12"/>
    </font>
    <font>
      <name val="Arial"/>
      <family val="2"/>
      <color indexed="8"/>
      <sz val="10"/>
    </font>
    <font>
      <name val="Arial"/>
      <family val="2"/>
      <b val="1"/>
      <color indexed="8"/>
      <sz val="8"/>
    </font>
    <font>
      <name val="Arial"/>
      <family val="2"/>
      <b val="1"/>
      <sz val="9"/>
    </font>
    <font>
      <name val="Arial"/>
      <family val="2"/>
      <b val="1"/>
      <color indexed="8"/>
      <sz val="10"/>
    </font>
    <font>
      <name val="Arial"/>
      <family val="2"/>
      <b val="1"/>
      <color indexed="8"/>
      <sz val="8"/>
    </font>
    <font>
      <name val="Arial"/>
      <family val="2"/>
      <i val="1"/>
      <color indexed="8"/>
      <sz val="10"/>
    </font>
    <font>
      <name val="Arial"/>
      <family val="2"/>
      <sz val="11"/>
    </font>
    <font>
      <name val="Arial"/>
      <family val="2"/>
      <sz val="8"/>
    </font>
    <font>
      <name val="Arial"/>
      <family val="2"/>
      <b val="1"/>
      <sz val="11"/>
    </font>
    <font>
      <name val="Arial"/>
      <family val="2"/>
      <b val="1"/>
      <sz val="11"/>
    </font>
    <font>
      <name val="Arial"/>
      <family val="2"/>
      <b val="1"/>
      <sz val="14"/>
    </font>
    <font>
      <name val="Arial"/>
      <family val="2"/>
      <sz val="9"/>
    </font>
    <font>
      <name val="Arial"/>
      <family val="2"/>
      <b val="1"/>
      <color indexed="48"/>
      <sz val="12"/>
    </font>
    <font>
      <name val="Arial"/>
      <family val="2"/>
      <b val="1"/>
      <color indexed="48"/>
      <sz val="10"/>
    </font>
    <font>
      <name val="Arial"/>
      <family val="2"/>
      <b val="1"/>
      <color indexed="8"/>
      <sz val="10"/>
    </font>
    <font>
      <name val="Arial"/>
      <family val="2"/>
      <b val="1"/>
      <color indexed="8"/>
      <sz val="11"/>
    </font>
    <font>
      <name val="Calibri"/>
      <family val="2"/>
      <color indexed="8"/>
      <sz val="11"/>
    </font>
    <font>
      <name val="Calibri"/>
      <family val="2"/>
      <color indexed="9"/>
      <sz val="11"/>
    </font>
    <font>
      <name val="Calibri"/>
      <family val="2"/>
      <color indexed="20"/>
      <sz val="11"/>
    </font>
    <font>
      <name val="Calibri"/>
      <family val="2"/>
      <b val="1"/>
      <color indexed="52"/>
      <sz val="11"/>
    </font>
    <font>
      <name val="Calibri"/>
      <family val="2"/>
      <b val="1"/>
      <color indexed="9"/>
      <sz val="11"/>
    </font>
    <font>
      <name val="Calibri"/>
      <family val="2"/>
      <i val="1"/>
      <color indexed="23"/>
      <sz val="11"/>
    </font>
    <font>
      <name val="Calibri"/>
      <family val="2"/>
      <color indexed="17"/>
      <sz val="11"/>
    </font>
    <font>
      <name val="Calibri"/>
      <family val="2"/>
      <b val="1"/>
      <color indexed="56"/>
      <sz val="15"/>
    </font>
    <font>
      <name val="Calibri"/>
      <family val="2"/>
      <b val="1"/>
      <color indexed="56"/>
      <sz val="13"/>
    </font>
    <font>
      <name val="Calibri"/>
      <family val="2"/>
      <b val="1"/>
      <color indexed="56"/>
      <sz val="11"/>
    </font>
    <font>
      <name val="Calibri"/>
      <family val="2"/>
      <color indexed="62"/>
      <sz val="11"/>
    </font>
    <font>
      <name val="Calibri"/>
      <family val="2"/>
      <color indexed="52"/>
      <sz val="11"/>
    </font>
    <font>
      <name val="Calibri"/>
      <family val="2"/>
      <color indexed="60"/>
      <sz val="11"/>
    </font>
    <font>
      <name val="Arial"/>
      <family val="2"/>
      <sz val="10"/>
    </font>
    <font>
      <name val="Calibri"/>
      <family val="2"/>
      <b val="1"/>
      <color indexed="63"/>
      <sz val="11"/>
    </font>
    <font>
      <name val="Cambria"/>
      <family val="2"/>
      <b val="1"/>
      <color indexed="56"/>
      <sz val="18"/>
    </font>
    <font>
      <name val="Calibri"/>
      <family val="2"/>
      <b val="1"/>
      <color indexed="8"/>
      <sz val="11"/>
    </font>
    <font>
      <name val="Calibri"/>
      <family val="2"/>
      <color indexed="10"/>
      <sz val="11"/>
    </font>
    <font>
      <name val="Arial"/>
      <family val="2"/>
      <color rgb="FF000000"/>
      <sz val="10"/>
    </font>
    <font>
      <name val="Arial"/>
      <family val="2"/>
      <color rgb="FFFF0000"/>
      <sz val="10"/>
    </font>
    <font>
      <name val="Arial"/>
      <family val="2"/>
      <b val="1"/>
      <color rgb="FFFF0000"/>
      <sz val="10"/>
    </font>
    <font>
      <name val="Engravers MT"/>
      <family val="1"/>
      <sz val="14"/>
    </font>
    <font>
      <name val="Arial"/>
      <family val="2"/>
      <b val="1"/>
      <i val="1"/>
      <sz val="9"/>
    </font>
    <font>
      <name val="Arial"/>
      <family val="2"/>
      <b val="1"/>
      <sz val="8"/>
    </font>
    <font>
      <name val="Arial"/>
      <family val="2"/>
      <b val="1"/>
      <color theme="1"/>
      <sz val="8"/>
    </font>
    <font>
      <name val="Arial"/>
      <family val="2"/>
      <sz val="16"/>
    </font>
    <font>
      <name val="Arial"/>
      <family val="2"/>
      <b val="1"/>
      <sz val="10"/>
      <u val="single"/>
    </font>
    <font>
      <name val="Arial"/>
      <family val="2"/>
      <i val="1"/>
      <sz val="9"/>
    </font>
    <font>
      <name val="Arial"/>
      <family val="2"/>
      <b val="1"/>
      <sz val="22"/>
    </font>
    <font>
      <name val="Arial"/>
      <family val="2"/>
      <sz val="22"/>
    </font>
    <font>
      <name val="Arial"/>
      <family val="2"/>
      <sz val="14"/>
    </font>
    <font>
      <name val="Arial"/>
      <family val="2"/>
      <sz val="18"/>
    </font>
    <font>
      <name val="Arial"/>
      <family val="2"/>
      <sz val="12"/>
    </font>
    <font>
      <name val="Arial"/>
      <family val="2"/>
      <color indexed="8"/>
      <sz val="11"/>
    </font>
    <font>
      <name val="Arial"/>
      <family val="2"/>
      <color rgb="FFFF0000"/>
      <sz val="12"/>
    </font>
    <font>
      <name val="Arial"/>
      <family val="2"/>
      <b val="1"/>
      <i val="1"/>
      <color indexed="10"/>
      <sz val="12"/>
    </font>
    <font>
      <name val="Arial"/>
      <family val="2"/>
      <color indexed="10"/>
      <sz val="12"/>
    </font>
    <font>
      <name val="Arial"/>
      <family val="2"/>
      <b val="1"/>
      <color rgb="FFFF0000"/>
      <sz val="12"/>
    </font>
    <font>
      <name val="Arial"/>
      <family val="2"/>
      <color rgb="FFFF0000"/>
      <sz val="11"/>
    </font>
    <font>
      <name val="Arial"/>
      <family val="2"/>
      <b val="1"/>
      <sz val="16"/>
    </font>
    <font>
      <name val="Arial"/>
      <family val="2"/>
      <b val="1"/>
      <sz val="18"/>
    </font>
    <font>
      <name val="Arial"/>
      <family val="2"/>
      <b val="1"/>
      <sz val="20"/>
    </font>
    <font>
      <name val="Arial"/>
      <family val="2"/>
      <sz val="20"/>
    </font>
    <font>
      <name val="Arial"/>
      <family val="2"/>
      <color rgb="FFFF0000"/>
      <sz val="7"/>
    </font>
    <font>
      <name val="Arial"/>
      <family val="2"/>
      <sz val="7"/>
    </font>
    <font>
      <name val="Arial"/>
      <family val="2"/>
      <color indexed="10"/>
      <sz val="7"/>
    </font>
    <font>
      <name val="Arial"/>
      <family val="2"/>
      <b val="1"/>
      <i val="1"/>
      <sz val="8"/>
    </font>
    <font>
      <name val="Arial"/>
      <family val="2"/>
      <b val="1"/>
      <i val="1"/>
      <color rgb="FFFF0000"/>
      <sz val="8"/>
    </font>
    <font>
      <name val="Arial"/>
      <family val="2"/>
      <b val="1"/>
      <i val="1"/>
      <color indexed="10"/>
      <sz val="10"/>
    </font>
    <font>
      <name val="Arial"/>
      <family val="2"/>
      <b val="1"/>
      <i val="1"/>
      <color indexed="10"/>
      <sz val="8"/>
    </font>
    <font>
      <name val="Arial"/>
      <family val="2"/>
      <b val="1"/>
      <i val="1"/>
      <color indexed="10"/>
      <sz val="9"/>
    </font>
    <font>
      <name val="Arial"/>
      <family val="2"/>
      <b val="1"/>
      <i val="1"/>
      <sz val="14"/>
    </font>
    <font>
      <name val="Arial"/>
      <family val="2"/>
      <b val="1"/>
      <i val="1"/>
      <color rgb="FFFF0000"/>
      <sz val="14"/>
    </font>
    <font>
      <name val="Arial"/>
      <family val="2"/>
      <b val="1"/>
      <sz val="26"/>
    </font>
    <font>
      <name val="Arial"/>
      <family val="2"/>
      <sz val="26"/>
    </font>
    <font>
      <name val="Arial"/>
      <family val="2"/>
      <sz val="66"/>
    </font>
    <font>
      <name val="Arial"/>
      <family val="2"/>
      <b val="1"/>
      <sz val="11"/>
      <u val="single"/>
    </font>
    <font>
      <name val="Arial"/>
      <family val="2"/>
      <b val="1"/>
      <sz val="12"/>
      <u val="single"/>
    </font>
    <font>
      <name val="Arial"/>
      <family val="2"/>
      <sz val="6"/>
    </font>
    <font>
      <name val="Arial"/>
      <family val="2"/>
      <color indexed="10"/>
      <sz val="10"/>
    </font>
    <font>
      <name val="Times New Roman"/>
      <family val="1"/>
      <b val="1"/>
      <sz val="14"/>
    </font>
    <font>
      <name val="Times New Roman"/>
      <family val="1"/>
      <b val="1"/>
      <sz val="16"/>
    </font>
    <font>
      <name val="Times New Roman"/>
      <family val="1"/>
      <b val="1"/>
      <sz val="12"/>
    </font>
    <font>
      <name val="Times New Roman"/>
      <family val="1"/>
      <sz val="14"/>
    </font>
    <font>
      <name val="Times New Roman"/>
      <family val="1"/>
      <sz val="13"/>
    </font>
    <font>
      <name val="Times New Roman"/>
      <family val="1"/>
      <sz val="12"/>
    </font>
    <font>
      <name val="Times New Roman"/>
      <family val="1"/>
      <color indexed="10"/>
      <sz val="14"/>
    </font>
    <font>
      <name val="Times New Roman"/>
      <family val="1"/>
      <color rgb="FFFF0000"/>
      <sz val="14"/>
    </font>
    <font>
      <name val="Book Antiqua"/>
      <family val="1"/>
      <b val="1"/>
      <sz val="14"/>
    </font>
    <font>
      <name val="Book Antiqua"/>
      <family val="1"/>
      <sz val="14"/>
    </font>
    <font>
      <name val="Tahoma"/>
      <family val="2"/>
      <color indexed="81"/>
      <sz val="10"/>
    </font>
    <font>
      <name val="Arial"/>
      <family val="2"/>
      <b val="1"/>
      <color indexed="8"/>
      <sz val="10"/>
      <u val="single"/>
    </font>
    <font>
      <name val="Arial"/>
      <family val="2"/>
      <b val="1"/>
      <sz val="36"/>
    </font>
    <font>
      <name val="Arial"/>
      <family val="2"/>
      <b val="1"/>
      <color theme="0"/>
      <sz val="10"/>
    </font>
    <font>
      <name val="Arial"/>
      <family val="2"/>
      <sz val="10"/>
    </font>
    <font>
      <name val="Courier New"/>
      <family val="3"/>
      <color indexed="8"/>
      <sz val="10"/>
    </font>
    <font>
      <name val="Arial"/>
      <family val="2"/>
      <b val="1"/>
      <color theme="1"/>
      <sz val="10"/>
    </font>
    <font>
      <name val="Calibri"/>
      <family val="2"/>
      <color indexed="8"/>
      <sz val="10"/>
    </font>
    <font>
      <name val="Engravers MT"/>
      <family val="1"/>
      <b val="1"/>
      <sz val="14"/>
    </font>
    <font>
      <name val="Arial"/>
      <family val="2"/>
      <sz val="10"/>
    </font>
    <font>
      <name val="Arial Narrow"/>
      <family val="2"/>
      <b val="1"/>
      <sz val="9"/>
    </font>
    <font>
      <name val="Arial Narrow"/>
      <family val="2"/>
      <b val="1"/>
      <color rgb="FF0070C0"/>
      <sz val="9"/>
    </font>
    <font>
      <name val="Arial Narrow"/>
      <family val="2"/>
      <b val="1"/>
      <sz val="8"/>
    </font>
    <font>
      <name val="Arial Narrow"/>
      <family val="2"/>
      <b val="1"/>
      <sz val="10"/>
    </font>
    <font>
      <name val="Arial Narrow"/>
      <family val="2"/>
      <b val="1"/>
      <color rgb="FF0070C0"/>
      <sz val="10"/>
    </font>
    <font>
      <name val="Arial Narrow"/>
      <family val="2"/>
      <b val="1"/>
      <sz val="11"/>
    </font>
    <font>
      <name val="Arial Narrow"/>
      <family val="2"/>
      <b val="1"/>
      <color rgb="FFFF0000"/>
      <sz val="11"/>
    </font>
    <font>
      <name val="Arial Narrow"/>
      <family val="2"/>
      <b val="1"/>
      <color rgb="FF0070C0"/>
      <sz val="11"/>
    </font>
    <font>
      <name val="Arial Narrow"/>
      <family val="2"/>
      <b val="1"/>
      <color rgb="FF00B050"/>
      <sz val="11"/>
    </font>
    <font>
      <name val="Arial Narrow"/>
      <family val="2"/>
      <b val="1"/>
      <color theme="1"/>
      <sz val="11"/>
    </font>
    <font>
      <name val="Arial Narrow"/>
      <family val="2"/>
      <b val="1"/>
      <i val="1"/>
      <sz val="11"/>
    </font>
    <font>
      <name val="Arial Narrow"/>
      <family val="2"/>
      <b val="1"/>
      <sz val="12"/>
    </font>
    <font>
      <name val="Arial Narrow"/>
      <family val="2"/>
      <b val="1"/>
      <color theme="1"/>
      <sz val="10"/>
    </font>
    <font>
      <name val="Arial Narrow"/>
      <family val="2"/>
      <b val="1"/>
      <color rgb="FFFF0000"/>
      <sz val="10"/>
    </font>
    <font>
      <name val="Arial Narrow"/>
      <family val="2"/>
      <sz val="11"/>
    </font>
    <font>
      <name val="Arial"/>
      <family val="2"/>
      <color theme="1"/>
      <sz val="10"/>
    </font>
    <font>
      <name val="Arial"/>
      <family val="2"/>
      <b val="1"/>
      <sz val="6"/>
    </font>
    <font>
      <name val="Arial"/>
      <family val="2"/>
      <color theme="10"/>
      <sz val="10"/>
      <u val="single"/>
    </font>
    <font>
      <name val="Arial"/>
      <family val="2"/>
      <color rgb="FF0070C0"/>
      <sz val="10"/>
    </font>
    <font>
      <name val="Arial"/>
      <family val="2"/>
      <color theme="6" tint="-0.499984740745262"/>
      <sz val="8"/>
    </font>
    <font>
      <name val="Arial"/>
      <family val="2"/>
      <i val="1"/>
      <sz val="11"/>
    </font>
    <font>
      <name val="Arial"/>
      <family val="2"/>
      <b val="1"/>
      <i val="1"/>
      <sz val="11"/>
    </font>
    <font>
      <name val="Arial"/>
      <family val="2"/>
      <b val="1"/>
      <color rgb="FF7030A0"/>
      <sz val="11"/>
    </font>
    <font>
      <name val="Arial"/>
      <family val="2"/>
      <b val="1"/>
      <color rgb="FF7030A0"/>
      <sz val="11"/>
      <vertAlign val="superscript"/>
    </font>
    <font>
      <name val="Arial"/>
      <family val="2"/>
      <color rgb="FF7030A0"/>
      <sz val="11"/>
    </font>
    <font>
      <name val="Arial"/>
      <family val="2"/>
      <i val="1"/>
      <color rgb="FF7030A0"/>
      <sz val="11"/>
    </font>
    <font>
      <b val="1"/>
      <sz val="18"/>
    </font>
    <font>
      <i val="1"/>
    </font>
    <font>
      <b val="1"/>
    </font>
  </fonts>
  <fills count="41">
    <fill>
      <patternFill/>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5"/>
        <bgColor indexed="8"/>
      </patternFill>
    </fill>
    <fill>
      <patternFill patternType="solid">
        <fgColor indexed="22"/>
        <bgColor indexed="64"/>
      </patternFill>
    </fill>
    <fill>
      <patternFill patternType="solid">
        <fgColor indexed="13"/>
        <bgColor indexed="64"/>
      </patternFill>
    </fill>
    <fill>
      <patternFill patternType="solid">
        <fgColor indexed="8"/>
        <bgColor indexed="64"/>
      </patternFill>
    </fill>
    <fill>
      <patternFill patternType="solid">
        <fgColor rgb="FFFFFF00"/>
        <bgColor indexed="64"/>
      </patternFill>
    </fill>
    <fill>
      <patternFill patternType="solid">
        <fgColor rgb="FFB2B2B2"/>
        <bgColor indexed="64"/>
      </patternFill>
    </fill>
    <fill>
      <patternFill patternType="solid">
        <fgColor rgb="FFFFFFCC"/>
        <bgColor indexed="64"/>
      </patternFill>
    </fill>
    <fill>
      <patternFill patternType="solid">
        <fgColor rgb="FFC0C0C0"/>
        <bgColor indexed="64"/>
      </patternFill>
    </fill>
    <fill>
      <patternFill patternType="solid">
        <fgColor theme="0" tint="-0.249977111117893"/>
        <bgColor indexed="64"/>
      </patternFill>
    </fill>
    <fill>
      <patternFill patternType="solid">
        <fgColor indexed="9"/>
        <bgColor indexed="64"/>
      </patternFill>
    </fill>
    <fill>
      <patternFill patternType="solid">
        <fgColor indexed="23"/>
        <bgColor indexed="64"/>
      </patternFill>
    </fill>
    <fill>
      <patternFill patternType="solid">
        <fgColor rgb="FFC00000"/>
        <bgColor indexed="64"/>
      </patternFill>
    </fill>
    <fill>
      <patternFill patternType="solid">
        <fgColor theme="1"/>
        <bgColor indexed="64"/>
      </patternFill>
    </fill>
    <fill>
      <patternFill patternType="solid">
        <fgColor theme="6" tint="0.7999816888943144"/>
        <bgColor indexed="64"/>
      </patternFill>
    </fill>
    <fill>
      <patternFill patternType="solid">
        <fgColor theme="5" tint="0.5999938962981048"/>
        <bgColor indexed="64"/>
      </patternFill>
    </fill>
    <fill>
      <patternFill patternType="solid">
        <fgColor theme="6" tint="0.5999938962981048"/>
        <bgColor indexed="64"/>
      </patternFill>
    </fill>
    <fill>
      <patternFill patternType="solid">
        <fgColor theme="0" tint="-0.0499893185216834"/>
        <bgColor indexed="64"/>
      </patternFill>
    </fill>
  </fills>
  <borders count="1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hair">
        <color indexed="64"/>
      </right>
      <top/>
      <bottom/>
      <diagonal/>
    </border>
    <border>
      <left style="dotted">
        <color indexed="64"/>
      </left>
      <right style="thin">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dotted">
        <color indexed="64"/>
      </left>
      <right style="thin">
        <color indexed="64"/>
      </right>
      <top style="dotted">
        <color indexed="64"/>
      </top>
      <bottom style="medium">
        <color indexed="64"/>
      </bottom>
      <diagonal/>
    </border>
    <border>
      <left style="medium">
        <color indexed="64"/>
      </left>
      <right style="dotted">
        <color indexed="64"/>
      </right>
      <top/>
      <bottom style="medium">
        <color indexed="64"/>
      </bottom>
      <diagonal/>
    </border>
    <border>
      <left style="medium">
        <color indexed="64"/>
      </left>
      <right style="dotted">
        <color indexed="64"/>
      </right>
      <top style="dotted">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style="thick">
        <color indexed="64"/>
      </left>
      <right/>
      <top/>
      <bottom/>
      <diagonal/>
    </border>
    <border>
      <left style="thick">
        <color indexed="64"/>
      </left>
      <right/>
      <top/>
      <bottom style="thin">
        <color indexed="64"/>
      </bottom>
      <diagonal/>
    </border>
    <border>
      <left style="thick">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diagonal/>
    </border>
    <border>
      <left/>
      <right style="hair">
        <color indexed="64"/>
      </right>
      <top style="hair">
        <color indexed="64"/>
      </top>
      <bottom/>
      <diagonal/>
    </border>
    <border>
      <left style="medium">
        <color indexed="64"/>
      </left>
      <right style="medium">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s>
  <cellStyleXfs count="49">
    <xf numFmtId="0" fontId="0" fillId="0" borderId="0"/>
    <xf numFmtId="0" fontId="23" fillId="2" borderId="0"/>
    <xf numFmtId="0" fontId="23" fillId="3" borderId="0"/>
    <xf numFmtId="0" fontId="23" fillId="4" borderId="0"/>
    <xf numFmtId="0" fontId="23" fillId="5" borderId="0"/>
    <xf numFmtId="0" fontId="23" fillId="6" borderId="0"/>
    <xf numFmtId="0" fontId="23" fillId="7" borderId="0"/>
    <xf numFmtId="0" fontId="23" fillId="8" borderId="0"/>
    <xf numFmtId="0" fontId="23" fillId="9" borderId="0"/>
    <xf numFmtId="0" fontId="23" fillId="10" borderId="0"/>
    <xf numFmtId="0" fontId="23" fillId="5" borderId="0"/>
    <xf numFmtId="0" fontId="23" fillId="8" borderId="0"/>
    <xf numFmtId="0" fontId="23" fillId="11" borderId="0"/>
    <xf numFmtId="0" fontId="24" fillId="12" borderId="0"/>
    <xf numFmtId="0" fontId="24" fillId="9" borderId="0"/>
    <xf numFmtId="0" fontId="24" fillId="10" borderId="0"/>
    <xf numFmtId="0" fontId="24" fillId="13" borderId="0"/>
    <xf numFmtId="0" fontId="24" fillId="14" borderId="0"/>
    <xf numFmtId="0" fontId="24" fillId="15" borderId="0"/>
    <xf numFmtId="0" fontId="24" fillId="16" borderId="0"/>
    <xf numFmtId="0" fontId="24" fillId="17" borderId="0"/>
    <xf numFmtId="0" fontId="24" fillId="18" borderId="0"/>
    <xf numFmtId="0" fontId="24" fillId="13" borderId="0"/>
    <xf numFmtId="0" fontId="24" fillId="14" borderId="0"/>
    <xf numFmtId="0" fontId="24" fillId="19" borderId="0"/>
    <xf numFmtId="0" fontId="25" fillId="3" borderId="0"/>
    <xf numFmtId="0" fontId="26" fillId="20" borderId="1"/>
    <xf numFmtId="0" fontId="27" fillId="21" borderId="2"/>
    <xf numFmtId="43" fontId="102" fillId="0" borderId="0"/>
    <xf numFmtId="0" fontId="28" fillId="0" borderId="0"/>
    <xf numFmtId="0" fontId="29" fillId="4" borderId="0"/>
    <xf numFmtId="0" fontId="30" fillId="0" borderId="3"/>
    <xf numFmtId="0" fontId="31" fillId="0" borderId="4"/>
    <xf numFmtId="0" fontId="32" fillId="0" borderId="5"/>
    <xf numFmtId="0" fontId="32" fillId="0" borderId="0"/>
    <xf numFmtId="0" fontId="33" fillId="7" borderId="1"/>
    <xf numFmtId="0" fontId="34" fillId="0" borderId="6"/>
    <xf numFmtId="0" fontId="35" fillId="22" borderId="0"/>
    <xf numFmtId="0" fontId="102" fillId="0" borderId="0"/>
    <xf numFmtId="0" fontId="102" fillId="0" borderId="0"/>
    <xf numFmtId="0" fontId="102" fillId="23" borderId="7"/>
    <xf numFmtId="0" fontId="37" fillId="20" borderId="8"/>
    <xf numFmtId="0" fontId="38" fillId="0" borderId="0"/>
    <xf numFmtId="0" fontId="39" fillId="0" borderId="9"/>
    <xf numFmtId="0" fontId="40" fillId="0" borderId="0"/>
    <xf numFmtId="0" fontId="1" fillId="0" borderId="0"/>
    <xf numFmtId="9" fontId="102" fillId="0" borderId="0"/>
    <xf numFmtId="43" fontId="102" fillId="0" borderId="0"/>
    <xf numFmtId="0" fontId="120" fillId="0" borderId="0"/>
  </cellStyleXfs>
  <cellXfs count="953">
    <xf numFmtId="0" fontId="0" fillId="0" borderId="0" pivotButton="0" quotePrefix="0" xfId="0"/>
    <xf numFmtId="0" fontId="0" fillId="0" borderId="0" applyAlignment="1" pivotButton="0" quotePrefix="0" xfId="0">
      <alignment horizontal="center"/>
    </xf>
    <xf numFmtId="0" fontId="7" fillId="0" borderId="0" pivotButton="0" quotePrefix="0" xfId="0"/>
    <xf numFmtId="0" fontId="9" fillId="0" borderId="0" applyAlignment="1" pivotButton="0" quotePrefix="0" xfId="0">
      <alignment horizontal="center"/>
    </xf>
    <xf numFmtId="0" fontId="7" fillId="24" borderId="0" pivotButton="0" quotePrefix="0" xfId="0"/>
    <xf numFmtId="0" fontId="5" fillId="0" borderId="0" pivotButton="0" quotePrefix="0" xfId="0"/>
    <xf numFmtId="0" fontId="10" fillId="0" borderId="0" pivotButton="0" quotePrefix="0" xfId="0"/>
    <xf numFmtId="0" fontId="8" fillId="29" borderId="11" applyAlignment="1" pivotButton="0" quotePrefix="0" xfId="0">
      <alignment horizontal="centerContinuous" vertical="center" wrapText="1"/>
    </xf>
    <xf numFmtId="0" fontId="46" fillId="29" borderId="15" applyAlignment="1" pivotButton="0" quotePrefix="0" xfId="0">
      <alignment horizontal="centerContinuous" vertical="center" wrapText="1"/>
    </xf>
    <xf numFmtId="0" fontId="46" fillId="29" borderId="11" applyAlignment="1" pivotButton="0" quotePrefix="0" xfId="0">
      <alignment horizontal="centerContinuous" vertical="center" wrapText="1"/>
    </xf>
    <xf numFmtId="0" fontId="0" fillId="29" borderId="16" applyAlignment="1" pivotButton="0" quotePrefix="0" xfId="0">
      <alignment horizontal="centerContinuous"/>
    </xf>
    <xf numFmtId="0" fontId="46" fillId="29" borderId="16" applyAlignment="1" pivotButton="0" quotePrefix="0" xfId="0">
      <alignment horizontal="centerContinuous" vertical="center" wrapText="1"/>
    </xf>
    <xf numFmtId="0" fontId="3" fillId="29" borderId="16" applyAlignment="1" pivotButton="0" quotePrefix="0" xfId="0">
      <alignment horizontal="centerContinuous"/>
    </xf>
    <xf numFmtId="0" fontId="0" fillId="0" borderId="0" applyAlignment="1" pivotButton="0" quotePrefix="0" xfId="0">
      <alignment horizontal="right" indent="1"/>
    </xf>
    <xf numFmtId="0" fontId="3" fillId="0" borderId="0" applyAlignment="1" pivotButton="0" quotePrefix="0" xfId="0">
      <alignment horizontal="right" vertical="top" indent="1"/>
    </xf>
    <xf numFmtId="0" fontId="4" fillId="0" borderId="0" applyAlignment="1" pivotButton="0" quotePrefix="0" xfId="0">
      <alignment horizontal="right" indent="1"/>
    </xf>
    <xf numFmtId="0" fontId="5" fillId="35" borderId="0" pivotButton="0" quotePrefix="0" xfId="0"/>
    <xf numFmtId="0" fontId="11" fillId="0" borderId="0" pivotButton="0" quotePrefix="0" xfId="0"/>
    <xf numFmtId="0" fontId="0" fillId="0" borderId="0" applyProtection="1" pivotButton="0" quotePrefix="0" xfId="0">
      <protection locked="0" hidden="0"/>
    </xf>
    <xf numFmtId="0" fontId="5" fillId="0" borderId="10" pivotButton="0" quotePrefix="0" xfId="0"/>
    <xf numFmtId="0" fontId="10" fillId="0" borderId="10" applyProtection="1" pivotButton="0" quotePrefix="0" xfId="0">
      <protection locked="0" hidden="0"/>
    </xf>
    <xf numFmtId="0" fontId="9" fillId="0" borderId="0" applyAlignment="1" pivotButton="0" quotePrefix="0" xfId="0">
      <alignment horizontal="left"/>
    </xf>
    <xf numFmtId="1" fontId="3" fillId="0" borderId="10" pivotButton="0" quotePrefix="0" xfId="0"/>
    <xf numFmtId="164" fontId="10" fillId="0" borderId="10" pivotButton="0" quotePrefix="0" xfId="0"/>
    <xf numFmtId="2" fontId="10" fillId="0" borderId="10" pivotButton="0" quotePrefix="0" xfId="0"/>
    <xf numFmtId="0" fontId="10" fillId="0" borderId="10" pivotButton="0" quotePrefix="0" xfId="0"/>
    <xf numFmtId="0" fontId="98" fillId="0" borderId="0" applyAlignment="1" pivotButton="0" quotePrefix="0" xfId="0">
      <alignment horizontal="right"/>
    </xf>
    <xf numFmtId="0" fontId="22" fillId="0" borderId="12" applyAlignment="1" pivotButton="0" quotePrefix="0" xfId="0">
      <alignment horizontal="centerContinuous" vertical="center"/>
    </xf>
    <xf numFmtId="0" fontId="16" fillId="0" borderId="18" applyAlignment="1" pivotButton="0" quotePrefix="0" xfId="0">
      <alignment horizontal="centerContinuous" vertical="center"/>
    </xf>
    <xf numFmtId="0" fontId="7" fillId="0" borderId="18" pivotButton="0" quotePrefix="0" xfId="0"/>
    <xf numFmtId="0" fontId="16" fillId="0" borderId="13" applyAlignment="1" pivotButton="0" quotePrefix="0" xfId="0">
      <alignment horizontal="centerContinuous" vertical="center"/>
    </xf>
    <xf numFmtId="0" fontId="16" fillId="0" borderId="20" applyAlignment="1" pivotButton="0" quotePrefix="0" xfId="0">
      <alignment horizontal="centerContinuous" vertical="center"/>
    </xf>
    <xf numFmtId="0" fontId="21" fillId="0" borderId="12" pivotButton="0" quotePrefix="0" xfId="0"/>
    <xf numFmtId="0" fontId="22" fillId="0" borderId="0" pivotButton="0" quotePrefix="0" xfId="0"/>
    <xf numFmtId="0" fontId="5" fillId="0" borderId="17" pivotButton="0" quotePrefix="0" xfId="0"/>
    <xf numFmtId="0" fontId="42" fillId="0" borderId="94" applyAlignment="1" pivotButton="0" quotePrefix="0" xfId="0">
      <alignment horizontal="center"/>
    </xf>
    <xf numFmtId="1" fontId="5" fillId="0" borderId="10" pivotButton="0" quotePrefix="0" xfId="0"/>
    <xf numFmtId="165" fontId="10" fillId="0" borderId="10" pivotButton="0" quotePrefix="0" xfId="0"/>
    <xf numFmtId="2" fontId="99" fillId="0" borderId="10" applyAlignment="1" pivotButton="0" quotePrefix="0" xfId="0">
      <alignment horizontal="right"/>
    </xf>
    <xf numFmtId="0" fontId="100" fillId="0" borderId="0" applyAlignment="1" pivotButton="0" quotePrefix="0" xfId="0">
      <alignment horizontal="center"/>
    </xf>
    <xf numFmtId="0" fontId="2" fillId="25" borderId="10" applyAlignment="1" pivotButton="0" quotePrefix="0" xfId="39">
      <alignment horizontal="center" vertical="center" wrapText="1"/>
    </xf>
    <xf numFmtId="0" fontId="48" fillId="0" borderId="17" pivotButton="0" quotePrefix="0" xfId="39"/>
    <xf numFmtId="0" fontId="48" fillId="0" borderId="0" pivotButton="0" quotePrefix="0" xfId="39"/>
    <xf numFmtId="0" fontId="2" fillId="0" borderId="0" pivotButton="0" quotePrefix="0" xfId="39"/>
    <xf numFmtId="0" fontId="2" fillId="0" borderId="0" applyAlignment="1" pivotButton="0" quotePrefix="0" xfId="39">
      <alignment horizontal="center"/>
    </xf>
    <xf numFmtId="0" fontId="2" fillId="25" borderId="0" applyAlignment="1" pivotButton="0" quotePrefix="0" xfId="39">
      <alignment horizontal="center" vertical="center"/>
    </xf>
    <xf numFmtId="0" fontId="3" fillId="0" borderId="0" applyAlignment="1" pivotButton="0" quotePrefix="0" xfId="39">
      <alignment horizontal="center" vertical="top"/>
    </xf>
    <xf numFmtId="15" fontId="3" fillId="0" borderId="0" applyAlignment="1" pivotButton="0" quotePrefix="0" xfId="39">
      <alignment horizontal="center" vertical="top"/>
    </xf>
    <xf numFmtId="0" fontId="6" fillId="0" borderId="0" applyAlignment="1" pivotButton="0" quotePrefix="0" xfId="39">
      <alignment horizontal="center"/>
    </xf>
    <xf numFmtId="0" fontId="3" fillId="0" borderId="0" pivotButton="0" quotePrefix="0" xfId="39"/>
    <xf numFmtId="0" fontId="13" fillId="0" borderId="0" applyAlignment="1" pivotButton="0" quotePrefix="0" xfId="39">
      <alignment horizontal="right"/>
    </xf>
    <xf numFmtId="0" fontId="2" fillId="0" borderId="0" applyAlignment="1" pivotButton="0" quotePrefix="0" xfId="39">
      <alignment horizontal="right"/>
    </xf>
    <xf numFmtId="0" fontId="13" fillId="0" borderId="10" applyAlignment="1" pivotButton="0" quotePrefix="0" xfId="39">
      <alignment horizontal="right"/>
    </xf>
    <xf numFmtId="0" fontId="13" fillId="0" borderId="0" pivotButton="0" quotePrefix="0" xfId="39"/>
    <xf numFmtId="0" fontId="3" fillId="0" borderId="0" applyAlignment="1" pivotButton="0" quotePrefix="0" xfId="39">
      <alignment horizontal="left"/>
    </xf>
    <xf numFmtId="0" fontId="3" fillId="0" borderId="22" applyAlignment="1" pivotButton="0" quotePrefix="0" xfId="39">
      <alignment horizontal="right"/>
    </xf>
    <xf numFmtId="0" fontId="2" fillId="0" borderId="10" applyAlignment="1" pivotButton="0" quotePrefix="0" xfId="39">
      <alignment horizontal="center"/>
    </xf>
    <xf numFmtId="0" fontId="2" fillId="27" borderId="17" pivotButton="0" quotePrefix="0" xfId="39"/>
    <xf numFmtId="0" fontId="2" fillId="27" borderId="18" pivotButton="0" quotePrefix="0" xfId="39"/>
    <xf numFmtId="0" fontId="2" fillId="0" borderId="13" applyAlignment="1" pivotButton="0" quotePrefix="0" xfId="39">
      <alignment horizontal="right"/>
    </xf>
    <xf numFmtId="0" fontId="13" fillId="27" borderId="19" applyAlignment="1" pivotButton="0" quotePrefix="0" xfId="39">
      <alignment horizontal="right"/>
    </xf>
    <xf numFmtId="0" fontId="2" fillId="27" borderId="19" pivotButton="0" quotePrefix="0" xfId="39"/>
    <xf numFmtId="0" fontId="2" fillId="0" borderId="0" applyAlignment="1" pivotButton="0" quotePrefix="0" xfId="39">
      <alignment horizontal="left" vertical="top"/>
    </xf>
    <xf numFmtId="0" fontId="3" fillId="0" borderId="0" applyAlignment="1" pivotButton="0" quotePrefix="0" xfId="39">
      <alignment horizontal="left" vertical="top"/>
    </xf>
    <xf numFmtId="0" fontId="49" fillId="0" borderId="0" applyAlignment="1" pivotButton="0" quotePrefix="0" xfId="39">
      <alignment horizontal="center" vertical="top"/>
    </xf>
    <xf numFmtId="0" fontId="49" fillId="0" borderId="0" applyAlignment="1" pivotButton="0" quotePrefix="0" xfId="39">
      <alignment horizontal="center"/>
    </xf>
    <xf numFmtId="0" fontId="50" fillId="0" borderId="12" pivotButton="0" quotePrefix="0" xfId="39"/>
    <xf numFmtId="0" fontId="4" fillId="0" borderId="17" pivotButton="0" quotePrefix="0" xfId="39"/>
    <xf numFmtId="0" fontId="13" fillId="0" borderId="0" applyAlignment="1" pivotButton="0" quotePrefix="0" xfId="39">
      <alignment horizontal="center"/>
    </xf>
    <xf numFmtId="0" fontId="4" fillId="0" borderId="18" pivotButton="0" quotePrefix="0" xfId="39"/>
    <xf numFmtId="0" fontId="50" fillId="0" borderId="12" applyAlignment="1" pivotButton="0" quotePrefix="0" xfId="39">
      <alignment vertical="center"/>
    </xf>
    <xf numFmtId="0" fontId="50" fillId="0" borderId="17" applyAlignment="1" pivotButton="0" quotePrefix="0" xfId="39">
      <alignment vertical="center"/>
    </xf>
    <xf numFmtId="0" fontId="18" fillId="0" borderId="18" applyAlignment="1" pivotButton="0" quotePrefix="0" xfId="39">
      <alignment vertical="center"/>
    </xf>
    <xf numFmtId="0" fontId="2" fillId="0" borderId="12" pivotButton="0" quotePrefix="0" xfId="39"/>
    <xf numFmtId="0" fontId="2" fillId="0" borderId="18" pivotButton="0" quotePrefix="0" xfId="39"/>
    <xf numFmtId="0" fontId="45" fillId="0" borderId="13" applyAlignment="1" pivotButton="0" quotePrefix="0" xfId="39">
      <alignment vertical="center"/>
    </xf>
    <xf numFmtId="0" fontId="45" fillId="0" borderId="19" applyAlignment="1" pivotButton="0" quotePrefix="0" xfId="39">
      <alignment horizontal="left" vertical="center"/>
    </xf>
    <xf numFmtId="0" fontId="45" fillId="0" borderId="19" applyAlignment="1" pivotButton="0" quotePrefix="0" xfId="39">
      <alignment vertical="center"/>
    </xf>
    <xf numFmtId="0" fontId="9" fillId="0" borderId="20" applyAlignment="1" pivotButton="0" quotePrefix="0" xfId="39">
      <alignment vertical="center"/>
    </xf>
    <xf numFmtId="0" fontId="2" fillId="0" borderId="13" pivotButton="0" quotePrefix="0" xfId="39"/>
    <xf numFmtId="0" fontId="2" fillId="0" borderId="20" pivotButton="0" quotePrefix="0" xfId="39"/>
    <xf numFmtId="0" fontId="50" fillId="0" borderId="14" applyAlignment="1" pivotButton="0" quotePrefix="0" xfId="39">
      <alignment horizontal="right" vertical="center"/>
    </xf>
    <xf numFmtId="0" fontId="50" fillId="0" borderId="0" applyAlignment="1" pivotButton="0" quotePrefix="0" xfId="39">
      <alignment horizontal="right" vertical="center"/>
    </xf>
    <xf numFmtId="0" fontId="18" fillId="0" borderId="10" applyAlignment="1" pivotButton="0" quotePrefix="0" xfId="39">
      <alignment horizontal="right" vertical="center"/>
    </xf>
    <xf numFmtId="1" fontId="18" fillId="0" borderId="10" applyAlignment="1" pivotButton="0" quotePrefix="0" xfId="39">
      <alignment horizontal="right" vertical="center"/>
    </xf>
    <xf numFmtId="9" fontId="18" fillId="0" borderId="10" applyAlignment="1" pivotButton="0" quotePrefix="0" xfId="39">
      <alignment horizontal="right" vertical="center"/>
    </xf>
    <xf numFmtId="0" fontId="50" fillId="0" borderId="13" applyAlignment="1" pivotButton="0" quotePrefix="0" xfId="39">
      <alignment horizontal="right" vertical="center"/>
    </xf>
    <xf numFmtId="0" fontId="50" fillId="0" borderId="19" applyAlignment="1" pivotButton="0" quotePrefix="0" xfId="39">
      <alignment horizontal="right" vertical="center"/>
    </xf>
    <xf numFmtId="0" fontId="54" fillId="0" borderId="0" applyAlignment="1" pivotButton="0" quotePrefix="0" xfId="39">
      <alignment horizontal="left"/>
    </xf>
    <xf numFmtId="0" fontId="53" fillId="0" borderId="0" applyAlignment="1" pivotButton="0" quotePrefix="0" xfId="39">
      <alignment horizontal="left"/>
    </xf>
    <xf numFmtId="0" fontId="48" fillId="0" borderId="0" applyAlignment="1" pivotButton="0" quotePrefix="0" xfId="39">
      <alignment horizontal="right"/>
    </xf>
    <xf numFmtId="0" fontId="48" fillId="0" borderId="42" applyAlignment="1" pivotButton="0" quotePrefix="0" xfId="39">
      <alignment horizontal="left"/>
    </xf>
    <xf numFmtId="0" fontId="13" fillId="0" borderId="42" applyAlignment="1" pivotButton="0" quotePrefix="0" xfId="39">
      <alignment horizontal="left"/>
    </xf>
    <xf numFmtId="0" fontId="13" fillId="0" borderId="0" applyAlignment="1" pivotButton="0" quotePrefix="0" xfId="39">
      <alignment horizontal="left"/>
    </xf>
    <xf numFmtId="0" fontId="55" fillId="0" borderId="0" applyAlignment="1" pivotButton="0" quotePrefix="0" xfId="39">
      <alignment horizontal="left"/>
    </xf>
    <xf numFmtId="0" fontId="13" fillId="0" borderId="43" applyAlignment="1" pivotButton="0" quotePrefix="0" xfId="39">
      <alignment horizontal="left"/>
    </xf>
    <xf numFmtId="0" fontId="55" fillId="0" borderId="0" pivotButton="0" quotePrefix="0" xfId="39"/>
    <xf numFmtId="0" fontId="55" fillId="0" borderId="0" applyAlignment="1" pivotButton="0" quotePrefix="0" xfId="39">
      <alignment horizontal="centerContinuous"/>
    </xf>
    <xf numFmtId="0" fontId="13" fillId="0" borderId="0" applyAlignment="1" pivotButton="0" quotePrefix="0" xfId="39">
      <alignment horizontal="centerContinuous"/>
    </xf>
    <xf numFmtId="0" fontId="53" fillId="0" borderId="0" pivotButton="0" quotePrefix="0" xfId="39"/>
    <xf numFmtId="0" fontId="56" fillId="0" borderId="0" pivotButton="0" quotePrefix="0" xfId="39"/>
    <xf numFmtId="0" fontId="57" fillId="0" borderId="42" pivotButton="0" quotePrefix="0" xfId="39"/>
    <xf numFmtId="0" fontId="57" fillId="0" borderId="0" applyAlignment="1" pivotButton="0" quotePrefix="0" xfId="39">
      <alignment horizontal="left"/>
    </xf>
    <xf numFmtId="0" fontId="57" fillId="0" borderId="0" pivotButton="0" quotePrefix="0" xfId="39"/>
    <xf numFmtId="0" fontId="60" fillId="0" borderId="0" applyAlignment="1" pivotButton="0" quotePrefix="0" xfId="39">
      <alignment horizontal="center"/>
    </xf>
    <xf numFmtId="0" fontId="13" fillId="0" borderId="44" applyAlignment="1" pivotButton="0" quotePrefix="0" xfId="39">
      <alignment horizontal="left"/>
    </xf>
    <xf numFmtId="0" fontId="55" fillId="0" borderId="42" pivotButton="0" quotePrefix="0" xfId="39"/>
    <xf numFmtId="0" fontId="61" fillId="0" borderId="0" pivotButton="0" quotePrefix="0" xfId="39"/>
    <xf numFmtId="0" fontId="61" fillId="0" borderId="0" applyAlignment="1" pivotButton="0" quotePrefix="0" xfId="39">
      <alignment horizontal="right"/>
    </xf>
    <xf numFmtId="0" fontId="42" fillId="0" borderId="0" pivotButton="0" quotePrefix="0" xfId="39"/>
    <xf numFmtId="0" fontId="15" fillId="0" borderId="0" applyAlignment="1" pivotButton="0" quotePrefix="0" xfId="39">
      <alignment horizontal="left"/>
    </xf>
    <xf numFmtId="0" fontId="15" fillId="0" borderId="0" applyAlignment="1" pivotButton="0" quotePrefix="0" xfId="39">
      <alignment horizontal="right"/>
    </xf>
    <xf numFmtId="0" fontId="15" fillId="0" borderId="0" applyAlignment="1" pivotButton="0" quotePrefix="0" xfId="39">
      <alignment horizontal="center"/>
    </xf>
    <xf numFmtId="0" fontId="13" fillId="0" borderId="42" applyAlignment="1" pivotButton="0" quotePrefix="0" xfId="39">
      <alignment horizontal="right"/>
    </xf>
    <xf numFmtId="0" fontId="13" fillId="0" borderId="42" pivotButton="0" quotePrefix="0" xfId="39"/>
    <xf numFmtId="0" fontId="13" fillId="28" borderId="11" applyAlignment="1" pivotButton="0" quotePrefix="0" xfId="39">
      <alignment horizontal="left"/>
    </xf>
    <xf numFmtId="0" fontId="13" fillId="28" borderId="15" applyAlignment="1" pivotButton="0" quotePrefix="0" xfId="39">
      <alignment horizontal="right"/>
    </xf>
    <xf numFmtId="0" fontId="13" fillId="28" borderId="16" applyAlignment="1" pivotButton="0" quotePrefix="0" xfId="39">
      <alignment horizontal="center"/>
    </xf>
    <xf numFmtId="0" fontId="13" fillId="28" borderId="46" applyAlignment="1" pivotButton="0" quotePrefix="0" xfId="39">
      <alignment horizontal="right"/>
    </xf>
    <xf numFmtId="0" fontId="18" fillId="28" borderId="45" applyAlignment="1" pivotButton="0" quotePrefix="0" xfId="39">
      <alignment horizontal="left"/>
    </xf>
    <xf numFmtId="0" fontId="18" fillId="0" borderId="47" applyAlignment="1" pivotButton="0" quotePrefix="0" xfId="39">
      <alignment horizontal="left"/>
    </xf>
    <xf numFmtId="0" fontId="18" fillId="0" borderId="0" applyAlignment="1" pivotButton="0" quotePrefix="0" xfId="39">
      <alignment horizontal="left"/>
    </xf>
    <xf numFmtId="0" fontId="2" fillId="0" borderId="47" pivotButton="0" quotePrefix="0" xfId="39"/>
    <xf numFmtId="0" fontId="18" fillId="0" borderId="0" applyAlignment="1" pivotButton="0" quotePrefix="0" xfId="39">
      <alignment horizontal="center"/>
    </xf>
    <xf numFmtId="0" fontId="2" fillId="0" borderId="48" applyAlignment="1" pivotButton="0" quotePrefix="0" xfId="39">
      <alignment horizontal="left"/>
    </xf>
    <xf numFmtId="0" fontId="2" fillId="0" borderId="48" applyAlignment="1" pivotButton="0" quotePrefix="0" xfId="39">
      <alignment horizontal="center"/>
    </xf>
    <xf numFmtId="0" fontId="18" fillId="0" borderId="47" applyAlignment="1" pivotButton="0" quotePrefix="0" xfId="39">
      <alignment horizontal="center"/>
    </xf>
    <xf numFmtId="0" fontId="2" fillId="0" borderId="49" applyAlignment="1" pivotButton="0" quotePrefix="0" xfId="39">
      <alignment horizontal="center"/>
    </xf>
    <xf numFmtId="0" fontId="2" fillId="28" borderId="49" applyAlignment="1" pivotButton="0" quotePrefix="0" xfId="39">
      <alignment horizontal="left"/>
    </xf>
    <xf numFmtId="0" fontId="18" fillId="0" borderId="49" applyAlignment="1" pivotButton="0" quotePrefix="0" xfId="39">
      <alignment horizontal="left"/>
    </xf>
    <xf numFmtId="0" fontId="18" fillId="28" borderId="49" applyAlignment="1" pivotButton="0" quotePrefix="0" xfId="39">
      <alignment horizontal="left"/>
    </xf>
    <xf numFmtId="0" fontId="18" fillId="0" borderId="48" applyAlignment="1" pivotButton="0" quotePrefix="0" xfId="39">
      <alignment horizontal="left"/>
    </xf>
    <xf numFmtId="0" fontId="18" fillId="0" borderId="49" applyAlignment="1" pivotButton="0" quotePrefix="0" xfId="39">
      <alignment horizontal="center"/>
    </xf>
    <xf numFmtId="0" fontId="18" fillId="0" borderId="48" applyAlignment="1" pivotButton="0" quotePrefix="0" xfId="39">
      <alignment horizontal="center"/>
    </xf>
    <xf numFmtId="165" fontId="6" fillId="0" borderId="27" applyAlignment="1" pivotButton="0" quotePrefix="0" xfId="39">
      <alignment horizontal="left" vertical="center"/>
    </xf>
    <xf numFmtId="166" fontId="53" fillId="0" borderId="50" applyAlignment="1" pivotButton="0" quotePrefix="0" xfId="39">
      <alignment horizontal="right" vertical="center" wrapText="1"/>
    </xf>
    <xf numFmtId="2" fontId="55" fillId="0" borderId="51" applyAlignment="1" pivotButton="0" quotePrefix="1" xfId="39">
      <alignment horizontal="center" vertical="center" wrapText="1"/>
    </xf>
    <xf numFmtId="2" fontId="15" fillId="0" borderId="26" applyAlignment="1" pivotButton="0" quotePrefix="0" xfId="39">
      <alignment horizontal="center" vertical="center"/>
    </xf>
    <xf numFmtId="2" fontId="15" fillId="0" borderId="30" applyAlignment="1" pivotButton="0" quotePrefix="0" xfId="39">
      <alignment horizontal="center" vertical="center"/>
    </xf>
    <xf numFmtId="0" fontId="62" fillId="0" borderId="52" applyAlignment="1" pivotButton="0" quotePrefix="0" xfId="39">
      <alignment horizontal="center"/>
    </xf>
    <xf numFmtId="0" fontId="9" fillId="0" borderId="53" applyAlignment="1" pivotButton="0" quotePrefix="0" xfId="39">
      <alignment horizontal="center"/>
    </xf>
    <xf numFmtId="0" fontId="18" fillId="28" borderId="30" applyAlignment="1" pivotButton="0" quotePrefix="0" xfId="39">
      <alignment horizontal="center"/>
    </xf>
    <xf numFmtId="0" fontId="18" fillId="0" borderId="54" applyAlignment="1" pivotButton="0" quotePrefix="0" xfId="39">
      <alignment horizontal="center"/>
    </xf>
    <xf numFmtId="0" fontId="18" fillId="0" borderId="21" applyAlignment="1" pivotButton="0" quotePrefix="0" xfId="39">
      <alignment horizontal="center"/>
    </xf>
    <xf numFmtId="166" fontId="17" fillId="0" borderId="33" applyAlignment="1" pivotButton="0" quotePrefix="0" xfId="39">
      <alignment horizontal="center" vertical="center"/>
    </xf>
    <xf numFmtId="2" fontId="15" fillId="0" borderId="31" applyAlignment="1" pivotButton="0" quotePrefix="0" xfId="39">
      <alignment horizontal="center" vertical="center"/>
    </xf>
    <xf numFmtId="0" fontId="9" fillId="0" borderId="56" applyAlignment="1" pivotButton="0" quotePrefix="0" xfId="39">
      <alignment horizontal="center"/>
    </xf>
    <xf numFmtId="0" fontId="18" fillId="28" borderId="31" applyAlignment="1" pivotButton="0" quotePrefix="0" xfId="39">
      <alignment horizontal="center"/>
    </xf>
    <xf numFmtId="0" fontId="18" fillId="0" borderId="57" applyAlignment="1" pivotButton="0" quotePrefix="0" xfId="39">
      <alignment horizontal="center"/>
    </xf>
    <xf numFmtId="167" fontId="18" fillId="0" borderId="57" applyAlignment="1" pivotButton="0" quotePrefix="0" xfId="39">
      <alignment horizontal="center"/>
    </xf>
    <xf numFmtId="166" fontId="53" fillId="0" borderId="59" applyAlignment="1" pivotButton="0" quotePrefix="0" xfId="39">
      <alignment horizontal="right" vertical="center" wrapText="1"/>
    </xf>
    <xf numFmtId="2" fontId="55" fillId="0" borderId="60" applyAlignment="1" pivotButton="0" quotePrefix="0" xfId="39">
      <alignment horizontal="center" vertical="center" wrapText="1"/>
    </xf>
    <xf numFmtId="2" fontId="62" fillId="0" borderId="25" applyAlignment="1" pivotButton="0" quotePrefix="0" xfId="39">
      <alignment horizontal="center" vertical="center"/>
    </xf>
    <xf numFmtId="2" fontId="15" fillId="0" borderId="35" applyAlignment="1" pivotButton="0" quotePrefix="0" xfId="39">
      <alignment horizontal="left" vertical="center"/>
    </xf>
    <xf numFmtId="0" fontId="9" fillId="0" borderId="61" applyAlignment="1" pivotButton="0" quotePrefix="0" xfId="39">
      <alignment horizontal="center"/>
    </xf>
    <xf numFmtId="0" fontId="18" fillId="28" borderId="35" applyAlignment="1" pivotButton="0" quotePrefix="0" xfId="39">
      <alignment horizontal="center"/>
    </xf>
    <xf numFmtId="0" fontId="18" fillId="0" borderId="62" applyAlignment="1" pivotButton="0" quotePrefix="0" xfId="39">
      <alignment horizontal="center"/>
    </xf>
    <xf numFmtId="0" fontId="18" fillId="0" borderId="63" applyAlignment="1" pivotButton="0" quotePrefix="0" xfId="39">
      <alignment horizontal="center"/>
    </xf>
    <xf numFmtId="165" fontId="6" fillId="0" borderId="64" applyAlignment="1" pivotButton="0" quotePrefix="0" xfId="39">
      <alignment horizontal="left" vertical="center"/>
    </xf>
    <xf numFmtId="0" fontId="55" fillId="0" borderId="51" applyAlignment="1" pivotButton="0" quotePrefix="0" xfId="39">
      <alignment horizontal="center" vertical="center" wrapText="1"/>
    </xf>
    <xf numFmtId="0" fontId="55" fillId="0" borderId="60" applyAlignment="1" pivotButton="0" quotePrefix="0" xfId="39">
      <alignment horizontal="center" vertical="center" wrapText="1"/>
    </xf>
    <xf numFmtId="0" fontId="55" fillId="0" borderId="30" applyAlignment="1" pivotButton="0" quotePrefix="0" xfId="39">
      <alignment horizontal="center" vertical="center" wrapText="1"/>
    </xf>
    <xf numFmtId="2" fontId="15" fillId="0" borderId="27" applyAlignment="1" pivotButton="0" quotePrefix="0" xfId="39">
      <alignment horizontal="center" vertical="center"/>
    </xf>
    <xf numFmtId="0" fontId="55" fillId="0" borderId="35" applyAlignment="1" pivotButton="0" quotePrefix="0" xfId="39">
      <alignment horizontal="center" vertical="center" wrapText="1"/>
    </xf>
    <xf numFmtId="2" fontId="62" fillId="0" borderId="58" applyAlignment="1" pivotButton="0" quotePrefix="0" xfId="39">
      <alignment horizontal="center" vertical="center"/>
    </xf>
    <xf numFmtId="1" fontId="18" fillId="0" borderId="0" pivotButton="0" quotePrefix="0" xfId="39"/>
    <xf numFmtId="1" fontId="18" fillId="0" borderId="21" pivotButton="0" quotePrefix="0" xfId="39"/>
    <xf numFmtId="0" fontId="18" fillId="0" borderId="0" pivotButton="0" quotePrefix="0" xfId="39"/>
    <xf numFmtId="1" fontId="18" fillId="0" borderId="23" pivotButton="0" quotePrefix="0" xfId="39"/>
    <xf numFmtId="0" fontId="2" fillId="0" borderId="17" applyAlignment="1" pivotButton="0" quotePrefix="0" xfId="39">
      <alignment horizontal="right" vertical="center"/>
    </xf>
    <xf numFmtId="0" fontId="2" fillId="0" borderId="0" applyAlignment="1" pivotButton="0" quotePrefix="0" xfId="39">
      <alignment horizontal="right" vertical="center"/>
    </xf>
    <xf numFmtId="165" fontId="18" fillId="0" borderId="68" applyAlignment="1" pivotButton="0" quotePrefix="0" xfId="39">
      <alignment horizontal="left" vertical="center"/>
    </xf>
    <xf numFmtId="0" fontId="2" fillId="0" borderId="69" applyAlignment="1" pivotButton="0" quotePrefix="0" xfId="39">
      <alignment horizontal="center" vertical="center"/>
    </xf>
    <xf numFmtId="2" fontId="15" fillId="0" borderId="69" applyAlignment="1" pivotButton="0" quotePrefix="0" xfId="39">
      <alignment horizontal="right" vertical="center"/>
    </xf>
    <xf numFmtId="2" fontId="15" fillId="0" borderId="42" applyAlignment="1" pivotButton="0" quotePrefix="0" xfId="39">
      <alignment horizontal="right" vertical="center"/>
    </xf>
    <xf numFmtId="0" fontId="2" fillId="0" borderId="70" applyAlignment="1" pivotButton="0" quotePrefix="0" xfId="39">
      <alignment horizontal="left" vertical="center"/>
    </xf>
    <xf numFmtId="1" fontId="2" fillId="0" borderId="70" applyAlignment="1" pivotButton="0" quotePrefix="0" xfId="39">
      <alignment horizontal="center" vertical="center"/>
    </xf>
    <xf numFmtId="1" fontId="2" fillId="0" borderId="0" applyAlignment="1" pivotButton="0" quotePrefix="0" xfId="39">
      <alignment horizontal="center" vertical="center"/>
    </xf>
    <xf numFmtId="1" fontId="2" fillId="0" borderId="29" applyAlignment="1" pivotButton="0" quotePrefix="0" xfId="39">
      <alignment horizontal="center" vertical="center"/>
    </xf>
    <xf numFmtId="0" fontId="2" fillId="0" borderId="0" applyAlignment="1" pivotButton="0" quotePrefix="0" xfId="39">
      <alignment horizontal="center" vertical="center"/>
    </xf>
    <xf numFmtId="0" fontId="2" fillId="0" borderId="0" applyAlignment="1" pivotButton="0" quotePrefix="0" xfId="39">
      <alignment horizontal="left"/>
    </xf>
    <xf numFmtId="0" fontId="2" fillId="25" borderId="71" pivotButton="0" quotePrefix="0" xfId="39"/>
    <xf numFmtId="0" fontId="2" fillId="25" borderId="32" pivotButton="0" quotePrefix="0" xfId="39"/>
    <xf numFmtId="0" fontId="2" fillId="0" borderId="72" pivotButton="0" quotePrefix="0" xfId="39"/>
    <xf numFmtId="0" fontId="55" fillId="28" borderId="0" pivotButton="0" quotePrefix="0" xfId="39"/>
    <xf numFmtId="0" fontId="2" fillId="28" borderId="0" pivotButton="0" quotePrefix="0" xfId="39"/>
    <xf numFmtId="0" fontId="2" fillId="25" borderId="58" pivotButton="0" quotePrefix="0" xfId="39"/>
    <xf numFmtId="0" fontId="2" fillId="25" borderId="34" pivotButton="0" quotePrefix="0" xfId="39"/>
    <xf numFmtId="0" fontId="2" fillId="28" borderId="34" pivotButton="0" quotePrefix="0" xfId="39"/>
    <xf numFmtId="0" fontId="18" fillId="25" borderId="73" pivotButton="0" quotePrefix="0" xfId="39"/>
    <xf numFmtId="0" fontId="18" fillId="0" borderId="28" pivotButton="0" quotePrefix="0" xfId="39"/>
    <xf numFmtId="0" fontId="18" fillId="25" borderId="58" pivotButton="0" quotePrefix="0" xfId="39"/>
    <xf numFmtId="0" fontId="18" fillId="0" borderId="34" pivotButton="0" quotePrefix="0" xfId="39"/>
    <xf numFmtId="14" fontId="2" fillId="0" borderId="0" pivotButton="0" quotePrefix="0" xfId="39"/>
    <xf numFmtId="0" fontId="78" fillId="0" borderId="0" pivotButton="0" quotePrefix="0" xfId="39"/>
    <xf numFmtId="0" fontId="2" fillId="31" borderId="28" applyAlignment="1" pivotButton="0" quotePrefix="0" xfId="39">
      <alignment horizontal="center" vertical="center" wrapText="1"/>
    </xf>
    <xf numFmtId="0" fontId="54" fillId="0" borderId="73" applyAlignment="1" pivotButton="0" quotePrefix="0" xfId="39">
      <alignment horizontal="center" vertical="center"/>
    </xf>
    <xf numFmtId="0" fontId="2" fillId="0" borderId="26" applyAlignment="1" pivotButton="0" quotePrefix="0" xfId="39">
      <alignment horizontal="center" vertical="center" wrapText="1"/>
    </xf>
    <xf numFmtId="0" fontId="2" fillId="0" borderId="30" applyAlignment="1" pivotButton="0" quotePrefix="0" xfId="39">
      <alignment horizontal="center" vertical="center" wrapText="1"/>
    </xf>
    <xf numFmtId="0" fontId="18" fillId="0" borderId="27" applyAlignment="1" pivotButton="0" quotePrefix="0" xfId="39">
      <alignment horizontal="center" vertical="center" wrapText="1"/>
    </xf>
    <xf numFmtId="0" fontId="18" fillId="0" borderId="26" applyAlignment="1" pivotButton="0" quotePrefix="0" xfId="39">
      <alignment horizontal="center" vertical="center" wrapText="1"/>
    </xf>
    <xf numFmtId="0" fontId="18" fillId="0" borderId="30" applyAlignment="1" pivotButton="0" quotePrefix="0" xfId="39">
      <alignment horizontal="center" vertical="center" wrapText="1"/>
    </xf>
    <xf numFmtId="0" fontId="2" fillId="0" borderId="81" applyAlignment="1" pivotButton="0" quotePrefix="0" xfId="39">
      <alignment horizontal="center" vertical="center"/>
    </xf>
    <xf numFmtId="0" fontId="2" fillId="0" borderId="23" applyAlignment="1" pivotButton="0" quotePrefix="0" xfId="39">
      <alignment horizontal="center" vertical="center"/>
    </xf>
    <xf numFmtId="0" fontId="2" fillId="0" borderId="23" applyAlignment="1" pivotButton="0" quotePrefix="0" xfId="39">
      <alignment horizontal="center" vertical="center" wrapText="1"/>
    </xf>
    <xf numFmtId="0" fontId="2" fillId="0" borderId="82" applyAlignment="1" pivotButton="0" quotePrefix="0" xfId="39">
      <alignment horizontal="center" vertical="center" wrapText="1"/>
    </xf>
    <xf numFmtId="0" fontId="2" fillId="0" borderId="81" applyAlignment="1" pivotButton="0" quotePrefix="0" xfId="39">
      <alignment horizontal="center" vertical="center" wrapText="1"/>
    </xf>
    <xf numFmtId="0" fontId="2" fillId="0" borderId="83" pivotButton="0" quotePrefix="0" xfId="39"/>
    <xf numFmtId="0" fontId="2" fillId="0" borderId="10" pivotButton="0" quotePrefix="0" xfId="39"/>
    <xf numFmtId="0" fontId="2" fillId="0" borderId="11" pivotButton="0" quotePrefix="0" xfId="39"/>
    <xf numFmtId="0" fontId="2" fillId="0" borderId="16" pivotButton="0" quotePrefix="0" xfId="39"/>
    <xf numFmtId="0" fontId="2" fillId="0" borderId="84" pivotButton="0" quotePrefix="0" xfId="39"/>
    <xf numFmtId="0" fontId="2" fillId="0" borderId="85" pivotButton="0" quotePrefix="0" xfId="39"/>
    <xf numFmtId="0" fontId="2" fillId="0" borderId="86" pivotButton="0" quotePrefix="0" xfId="39"/>
    <xf numFmtId="0" fontId="2" fillId="0" borderId="87" pivotButton="0" quotePrefix="0" xfId="39"/>
    <xf numFmtId="0" fontId="2" fillId="0" borderId="88" pivotButton="0" quotePrefix="0" xfId="39"/>
    <xf numFmtId="0" fontId="2" fillId="0" borderId="89" pivotButton="0" quotePrefix="0" xfId="39"/>
    <xf numFmtId="0" fontId="2" fillId="25" borderId="11" applyAlignment="1" pivotButton="0" quotePrefix="0" xfId="39">
      <alignment horizontal="center" vertical="center" wrapText="1" shrinkToFit="1"/>
    </xf>
    <xf numFmtId="0" fontId="2" fillId="25" borderId="11" applyAlignment="1" pivotButton="0" quotePrefix="0" xfId="39">
      <alignment horizontal="center" vertical="center" wrapText="1"/>
    </xf>
    <xf numFmtId="0" fontId="2" fillId="25" borderId="10" applyAlignment="1" pivotButton="0" quotePrefix="0" xfId="39">
      <alignment horizontal="center" vertical="center" shrinkToFit="1"/>
    </xf>
    <xf numFmtId="0" fontId="3" fillId="0" borderId="0" applyAlignment="1" pivotButton="0" quotePrefix="0" xfId="39">
      <alignment horizontal="right"/>
    </xf>
    <xf numFmtId="0" fontId="3" fillId="0" borderId="19" applyAlignment="1" pivotButton="0" quotePrefix="0" xfId="39">
      <alignment horizontal="left"/>
    </xf>
    <xf numFmtId="0" fontId="3" fillId="0" borderId="15" pivotButton="0" quotePrefix="0" xfId="39"/>
    <xf numFmtId="0" fontId="14" fillId="0" borderId="0" applyAlignment="1" pivotButton="0" quotePrefix="0" xfId="39">
      <alignment horizontal="centerContinuous"/>
    </xf>
    <xf numFmtId="0" fontId="14" fillId="0" borderId="0" applyAlignment="1" pivotButton="0" quotePrefix="0" xfId="39">
      <alignment horizontal="center"/>
    </xf>
    <xf numFmtId="0" fontId="2" fillId="0" borderId="0" applyAlignment="1" pivotButton="0" quotePrefix="0" xfId="39">
      <alignment horizontal="centerContinuous"/>
    </xf>
    <xf numFmtId="0" fontId="14" fillId="0" borderId="0" pivotButton="0" quotePrefix="0" xfId="39"/>
    <xf numFmtId="0" fontId="3" fillId="0" borderId="73" pivotButton="0" quotePrefix="0" xfId="39"/>
    <xf numFmtId="0" fontId="2" fillId="0" borderId="78" pivotButton="0" quotePrefix="0" xfId="39"/>
    <xf numFmtId="0" fontId="3" fillId="0" borderId="78" pivotButton="0" quotePrefix="0" xfId="39"/>
    <xf numFmtId="0" fontId="3" fillId="0" borderId="28" applyAlignment="1" pivotButton="0" quotePrefix="0" xfId="39">
      <alignment horizontal="center"/>
    </xf>
    <xf numFmtId="0" fontId="3" fillId="0" borderId="73" applyAlignment="1" pivotButton="0" quotePrefix="0" xfId="39">
      <alignment horizontal="center"/>
    </xf>
    <xf numFmtId="0" fontId="3" fillId="0" borderId="78" applyAlignment="1" pivotButton="0" quotePrefix="0" xfId="39">
      <alignment horizontal="center"/>
    </xf>
    <xf numFmtId="0" fontId="2" fillId="0" borderId="73" pivotButton="0" quotePrefix="0" xfId="39"/>
    <xf numFmtId="0" fontId="2" fillId="0" borderId="90" pivotButton="0" quotePrefix="0" xfId="39"/>
    <xf numFmtId="0" fontId="2" fillId="0" borderId="25" pivotButton="0" quotePrefix="0" xfId="39"/>
    <xf numFmtId="0" fontId="2" fillId="0" borderId="58" pivotButton="0" quotePrefix="0" xfId="39"/>
    <xf numFmtId="0" fontId="79" fillId="0" borderId="0" pivotButton="0" quotePrefix="0" xfId="39"/>
    <xf numFmtId="0" fontId="80" fillId="0" borderId="0" pivotButton="0" quotePrefix="0" xfId="39"/>
    <xf numFmtId="0" fontId="80" fillId="0" borderId="0" applyAlignment="1" pivotButton="0" quotePrefix="0" xfId="39">
      <alignment horizontal="left"/>
    </xf>
    <xf numFmtId="0" fontId="15" fillId="0" borderId="27" applyAlignment="1" pivotButton="0" quotePrefix="0" xfId="39">
      <alignment horizontal="left"/>
    </xf>
    <xf numFmtId="0" fontId="13" fillId="0" borderId="26" pivotButton="0" quotePrefix="0" xfId="39"/>
    <xf numFmtId="0" fontId="13" fillId="0" borderId="10" applyAlignment="1" pivotButton="0" quotePrefix="0" xfId="39">
      <alignment horizontal="center" vertical="center" wrapText="1"/>
    </xf>
    <xf numFmtId="0" fontId="13" fillId="0" borderId="11" applyAlignment="1" pivotButton="0" quotePrefix="0" xfId="39">
      <alignment vertical="center"/>
    </xf>
    <xf numFmtId="0" fontId="13" fillId="0" borderId="10" pivotButton="0" quotePrefix="0" xfId="39"/>
    <xf numFmtId="0" fontId="13" fillId="0" borderId="11" pivotButton="0" quotePrefix="0" xfId="39"/>
    <xf numFmtId="0" fontId="2" fillId="0" borderId="34" pivotButton="0" quotePrefix="0" xfId="39"/>
    <xf numFmtId="0" fontId="14" fillId="25" borderId="10" applyAlignment="1" pivotButton="0" quotePrefix="0" xfId="39">
      <alignment horizontal="center" vertical="center" wrapText="1"/>
    </xf>
    <xf numFmtId="0" fontId="2" fillId="0" borderId="0" applyAlignment="1" pivotButton="0" quotePrefix="0" xfId="39">
      <alignment vertical="center"/>
    </xf>
    <xf numFmtId="0" fontId="81" fillId="0" borderId="0" applyAlignment="1" pivotButton="0" quotePrefix="0" xfId="39">
      <alignment textRotation="255" wrapText="1"/>
    </xf>
    <xf numFmtId="0" fontId="14" fillId="0" borderId="0" applyAlignment="1" pivotButton="0" quotePrefix="0" xfId="39">
      <alignment horizontal="center" vertical="center"/>
    </xf>
    <xf numFmtId="0" fontId="14" fillId="0" borderId="0" applyAlignment="1" pivotButton="0" quotePrefix="0" xfId="39">
      <alignment horizontal="center" vertical="center" wrapText="1"/>
    </xf>
    <xf numFmtId="0" fontId="63" fillId="33" borderId="36" applyAlignment="1" pivotButton="0" quotePrefix="0" xfId="39">
      <alignment horizontal="centerContinuous"/>
    </xf>
    <xf numFmtId="0" fontId="63" fillId="33" borderId="37" applyAlignment="1" pivotButton="0" quotePrefix="0" xfId="39">
      <alignment horizontal="centerContinuous"/>
    </xf>
    <xf numFmtId="0" fontId="63" fillId="33" borderId="92" applyAlignment="1" pivotButton="0" quotePrefix="0" xfId="39">
      <alignment horizontal="centerContinuous"/>
    </xf>
    <xf numFmtId="0" fontId="51" fillId="33" borderId="81" applyAlignment="1" pivotButton="0" quotePrefix="0" xfId="39">
      <alignment horizontal="left"/>
    </xf>
    <xf numFmtId="0" fontId="51" fillId="33" borderId="23" applyAlignment="1" pivotButton="0" quotePrefix="0" xfId="39">
      <alignment horizontal="centerContinuous"/>
    </xf>
    <xf numFmtId="0" fontId="52" fillId="33" borderId="10" applyAlignment="1" pivotButton="0" quotePrefix="0" xfId="39">
      <alignment horizontal="center"/>
    </xf>
    <xf numFmtId="0" fontId="2" fillId="0" borderId="0" applyAlignment="1" pivotButton="0" quotePrefix="0" xfId="39">
      <alignment vertical="top"/>
    </xf>
    <xf numFmtId="0" fontId="62" fillId="0" borderId="10" applyAlignment="1" pivotButton="0" quotePrefix="0" xfId="39">
      <alignment horizontal="center" vertical="center"/>
    </xf>
    <xf numFmtId="0" fontId="2" fillId="0" borderId="17" applyAlignment="1" pivotButton="0" quotePrefix="0" xfId="39">
      <alignment horizontal="right" vertical="center" wrapText="1"/>
    </xf>
    <xf numFmtId="0" fontId="62" fillId="0" borderId="17" applyAlignment="1" pivotButton="0" quotePrefix="0" xfId="39">
      <alignment horizontal="center" vertical="center"/>
    </xf>
    <xf numFmtId="0" fontId="3" fillId="0" borderId="17" applyAlignment="1" pivotButton="0" quotePrefix="0" xfId="39">
      <alignment horizontal="center" vertical="center" wrapText="1"/>
    </xf>
    <xf numFmtId="0" fontId="3" fillId="0" borderId="17" applyAlignment="1" pivotButton="0" quotePrefix="0" xfId="39">
      <alignment horizontal="center" vertical="center"/>
    </xf>
    <xf numFmtId="0" fontId="2" fillId="0" borderId="17" applyAlignment="1" pivotButton="0" quotePrefix="0" xfId="39">
      <alignment horizontal="center" vertical="center"/>
    </xf>
    <xf numFmtId="0" fontId="53" fillId="0" borderId="11" pivotButton="0" quotePrefix="0" xfId="39"/>
    <xf numFmtId="0" fontId="53" fillId="0" borderId="15" pivotButton="0" quotePrefix="0" xfId="39"/>
    <xf numFmtId="0" fontId="2" fillId="0" borderId="15" pivotButton="0" quotePrefix="0" xfId="39"/>
    <xf numFmtId="0" fontId="9" fillId="25" borderId="10" applyAlignment="1" pivotButton="0" quotePrefix="0" xfId="39">
      <alignment horizontal="center" vertical="top"/>
    </xf>
    <xf numFmtId="0" fontId="9" fillId="0" borderId="0" applyAlignment="1" pivotButton="0" quotePrefix="0" xfId="39">
      <alignment horizontal="center" vertical="top"/>
    </xf>
    <xf numFmtId="0" fontId="18" fillId="0" borderId="0" applyAlignment="1" pivotButton="0" quotePrefix="0" xfId="39">
      <alignment horizontal="center" vertical="center"/>
    </xf>
    <xf numFmtId="0" fontId="2" fillId="0" borderId="0" applyAlignment="1" pivotButton="0" quotePrefix="0" xfId="39">
      <alignment horizontal="center" vertical="top"/>
    </xf>
    <xf numFmtId="0" fontId="3" fillId="0" borderId="0" applyAlignment="1" pivotButton="0" quotePrefix="0" xfId="39">
      <alignment vertical="center" wrapText="1"/>
    </xf>
    <xf numFmtId="0" fontId="53" fillId="0" borderId="0" applyAlignment="1" pivotButton="0" quotePrefix="0" xfId="39">
      <alignment horizontal="center" vertical="center"/>
    </xf>
    <xf numFmtId="0" fontId="2" fillId="0" borderId="0" applyAlignment="1" pivotButton="0" quotePrefix="0" xfId="39">
      <alignment horizontal="left" vertical="center" indent="1"/>
    </xf>
    <xf numFmtId="0" fontId="53" fillId="0" borderId="0" applyAlignment="1" pivotButton="0" quotePrefix="0" xfId="39">
      <alignment horizontal="left" vertical="center"/>
    </xf>
    <xf numFmtId="0" fontId="53" fillId="0" borderId="0" applyAlignment="1" pivotButton="0" quotePrefix="0" xfId="39">
      <alignment horizontal="right" vertical="center"/>
    </xf>
    <xf numFmtId="0" fontId="53" fillId="0" borderId="19" applyAlignment="1" pivotButton="0" quotePrefix="0" xfId="39">
      <alignment horizontal="left" vertical="center"/>
    </xf>
    <xf numFmtId="0" fontId="83" fillId="26" borderId="10" applyAlignment="1" pivotButton="0" quotePrefix="0" xfId="39">
      <alignment horizontal="left" vertical="center" wrapText="1" indent="1"/>
    </xf>
    <xf numFmtId="0" fontId="85" fillId="26" borderId="10" applyAlignment="1" pivotButton="0" quotePrefix="0" xfId="39">
      <alignment vertical="center" wrapText="1"/>
    </xf>
    <xf numFmtId="0" fontId="83" fillId="26" borderId="10" applyAlignment="1" pivotButton="0" quotePrefix="0" xfId="39">
      <alignment vertical="center" wrapText="1"/>
    </xf>
    <xf numFmtId="0" fontId="86" fillId="0" borderId="22" applyAlignment="1" pivotButton="0" quotePrefix="0" xfId="39">
      <alignment wrapText="1"/>
    </xf>
    <xf numFmtId="0" fontId="86" fillId="0" borderId="10" applyAlignment="1" pivotButton="0" quotePrefix="0" xfId="39">
      <alignment wrapText="1"/>
    </xf>
    <xf numFmtId="0" fontId="86" fillId="0" borderId="23" applyAlignment="1" pivotButton="0" quotePrefix="0" xfId="39">
      <alignment wrapText="1"/>
    </xf>
    <xf numFmtId="0" fontId="86" fillId="0" borderId="24" applyAlignment="1" pivotButton="0" quotePrefix="0" xfId="39">
      <alignment wrapText="1"/>
    </xf>
    <xf numFmtId="0" fontId="13" fillId="0" borderId="10" applyAlignment="1" pivotButton="0" quotePrefix="0" xfId="39">
      <alignment wrapText="1"/>
    </xf>
    <xf numFmtId="0" fontId="86" fillId="34" borderId="10" applyAlignment="1" pivotButton="0" quotePrefix="0" xfId="39">
      <alignment wrapText="1"/>
    </xf>
    <xf numFmtId="0" fontId="86" fillId="0" borderId="10" applyAlignment="1" pivotButton="0" quotePrefix="0" xfId="39">
      <alignment horizontal="left" vertical="center" wrapText="1" indent="1"/>
    </xf>
    <xf numFmtId="0" fontId="91" fillId="26" borderId="10" applyAlignment="1" pivotButton="0" quotePrefix="0" xfId="39">
      <alignment horizontal="center"/>
    </xf>
    <xf numFmtId="0" fontId="53" fillId="0" borderId="42" pivotButton="0" quotePrefix="0" xfId="39"/>
    <xf numFmtId="0" fontId="47" fillId="29" borderId="10" applyAlignment="1" pivotButton="0" quotePrefix="0" xfId="0">
      <alignment horizontal="center" vertical="center"/>
    </xf>
    <xf numFmtId="0" fontId="47" fillId="29" borderId="10" applyAlignment="1" pivotButton="0" quotePrefix="0" xfId="0">
      <alignment horizontal="centerContinuous" vertical="center" wrapText="1"/>
    </xf>
    <xf numFmtId="0" fontId="95" fillId="29" borderId="12" applyAlignment="1" pivotButton="0" quotePrefix="0" xfId="0">
      <alignment horizontal="center" vertical="center" wrapText="1"/>
    </xf>
    <xf numFmtId="0" fontId="95" fillId="29" borderId="13" applyAlignment="1" pivotButton="0" quotePrefix="0" xfId="0">
      <alignment horizontal="center" vertical="center" wrapText="1"/>
    </xf>
    <xf numFmtId="0" fontId="96" fillId="35" borderId="0" applyAlignment="1" pivotButton="0" quotePrefix="0" xfId="0">
      <alignment horizontal="left"/>
    </xf>
    <xf numFmtId="0" fontId="10" fillId="0" borderId="0" applyAlignment="1" pivotButton="0" quotePrefix="0" xfId="0">
      <alignment horizontal="left"/>
    </xf>
    <xf numFmtId="0" fontId="5" fillId="0" borderId="0" applyAlignment="1" pivotButton="0" quotePrefix="0" xfId="0">
      <alignment horizontal="right" indent="1"/>
    </xf>
    <xf numFmtId="0" fontId="12" fillId="0" borderId="0" applyAlignment="1" pivotButton="0" quotePrefix="0" xfId="0">
      <alignment horizontal="center"/>
    </xf>
    <xf numFmtId="0" fontId="10" fillId="0" borderId="0" applyAlignment="1" pivotButton="0" quotePrefix="0" xfId="0">
      <alignment horizontal="right" indent="1"/>
    </xf>
    <xf numFmtId="0" fontId="42" fillId="0" borderId="0" applyAlignment="1" pivotButton="0" quotePrefix="0" xfId="0">
      <alignment horizontal="right" indent="1"/>
    </xf>
    <xf numFmtId="0" fontId="94" fillId="0" borderId="0" applyAlignment="1" pivotButton="0" quotePrefix="0" xfId="0">
      <alignment horizontal="right" indent="1"/>
    </xf>
    <xf numFmtId="0" fontId="12" fillId="0" borderId="0" applyAlignment="1" pivotButton="0" quotePrefix="0" xfId="0">
      <alignment horizontal="right" indent="1"/>
    </xf>
    <xf numFmtId="0" fontId="12" fillId="24" borderId="0" applyAlignment="1" pivotButton="0" quotePrefix="0" xfId="0">
      <alignment horizontal="right" indent="1"/>
    </xf>
    <xf numFmtId="0" fontId="20" fillId="0" borderId="0" pivotButton="0" quotePrefix="0" xfId="0"/>
    <xf numFmtId="0" fontId="19" fillId="0" borderId="0" applyAlignment="1" pivotButton="0" quotePrefix="0" xfId="0">
      <alignment horizontal="left"/>
    </xf>
    <xf numFmtId="0" fontId="0" fillId="24" borderId="0" applyAlignment="1" pivotButton="0" quotePrefix="0" xfId="0">
      <alignment horizontal="center"/>
    </xf>
    <xf numFmtId="165" fontId="0" fillId="0" borderId="0" pivotButton="0" quotePrefix="0" xfId="0"/>
    <xf numFmtId="165" fontId="10" fillId="0" borderId="0" pivotButton="0" quotePrefix="0" xfId="0"/>
    <xf numFmtId="0" fontId="43" fillId="28" borderId="0" pivotButton="0" quotePrefix="0" xfId="0"/>
    <xf numFmtId="0" fontId="43" fillId="0" borderId="94" applyAlignment="1" pivotButton="0" quotePrefix="0" xfId="0">
      <alignment horizontal="center"/>
    </xf>
    <xf numFmtId="0" fontId="43" fillId="36" borderId="94" applyAlignment="1" pivotButton="0" quotePrefix="0" xfId="0">
      <alignment horizontal="center"/>
    </xf>
    <xf numFmtId="0" fontId="42" fillId="0" borderId="0" applyAlignment="1" pivotButton="0" quotePrefix="0" xfId="0">
      <alignment horizontal="center"/>
    </xf>
    <xf numFmtId="0" fontId="42" fillId="0" borderId="95" applyAlignment="1" pivotButton="0" quotePrefix="0" xfId="0">
      <alignment horizontal="center"/>
    </xf>
    <xf numFmtId="0" fontId="10" fillId="37" borderId="10" applyProtection="1" pivotButton="0" quotePrefix="0" xfId="0">
      <protection locked="0" hidden="0"/>
    </xf>
    <xf numFmtId="0" fontId="5" fillId="37" borderId="10" applyProtection="1" pivotButton="0" quotePrefix="0" xfId="0">
      <protection locked="0" hidden="0"/>
    </xf>
    <xf numFmtId="0" fontId="10" fillId="30" borderId="10" applyProtection="1" pivotButton="0" quotePrefix="0" xfId="0">
      <protection locked="0" hidden="0"/>
    </xf>
    <xf numFmtId="1" fontId="10" fillId="30" borderId="10" applyProtection="1" pivotButton="0" quotePrefix="0" xfId="0">
      <protection locked="0" hidden="0"/>
    </xf>
    <xf numFmtId="9" fontId="10" fillId="30" borderId="10" applyProtection="1" pivotButton="0" quotePrefix="0" xfId="46">
      <protection locked="0" hidden="0"/>
    </xf>
    <xf numFmtId="2" fontId="10" fillId="30" borderId="10" applyProtection="1" pivotButton="0" quotePrefix="0" xfId="0">
      <protection locked="0" hidden="0"/>
    </xf>
    <xf numFmtId="165" fontId="10" fillId="30" borderId="10" applyProtection="1" pivotButton="0" quotePrefix="0" xfId="0">
      <protection locked="0" hidden="0"/>
    </xf>
    <xf numFmtId="0" fontId="21" fillId="30" borderId="10" applyProtection="1" pivotButton="0" quotePrefix="0" xfId="0">
      <protection locked="0" hidden="0"/>
    </xf>
    <xf numFmtId="0" fontId="5" fillId="30" borderId="10" applyProtection="1" pivotButton="0" quotePrefix="0" xfId="0">
      <protection locked="0" hidden="0"/>
    </xf>
    <xf numFmtId="0" fontId="5" fillId="30" borderId="11" applyProtection="1" pivotButton="0" quotePrefix="0" xfId="0">
      <protection locked="0" hidden="0"/>
    </xf>
    <xf numFmtId="0" fontId="5" fillId="30" borderId="10" applyAlignment="1" pivotButton="0" quotePrefix="0" xfId="0">
      <alignment horizontal="right" indent="1"/>
    </xf>
    <xf numFmtId="0" fontId="10" fillId="30" borderId="10" applyAlignment="1" pivotButton="0" quotePrefix="0" xfId="0">
      <alignment horizontal="right" indent="1"/>
    </xf>
    <xf numFmtId="0" fontId="42" fillId="30" borderId="10" applyAlignment="1" pivotButton="0" quotePrefix="0" xfId="0">
      <alignment horizontal="right" indent="1"/>
    </xf>
    <xf numFmtId="0" fontId="0" fillId="30" borderId="10" applyProtection="1" pivotButton="0" quotePrefix="0" xfId="0">
      <protection locked="0" hidden="0"/>
    </xf>
    <xf numFmtId="0" fontId="0" fillId="30" borderId="11" applyProtection="1" pivotButton="0" quotePrefix="0" xfId="0">
      <protection locked="0" hidden="0"/>
    </xf>
    <xf numFmtId="165" fontId="10" fillId="38" borderId="20" applyProtection="1" pivotButton="0" quotePrefix="0" xfId="0">
      <protection locked="0" hidden="0"/>
    </xf>
    <xf numFmtId="49" fontId="10" fillId="38" borderId="10" applyProtection="1" pivotButton="0" quotePrefix="0" xfId="0">
      <protection locked="0" hidden="0"/>
    </xf>
    <xf numFmtId="0" fontId="10" fillId="38" borderId="10" applyProtection="1" pivotButton="0" quotePrefix="0" xfId="0">
      <protection locked="0" hidden="0"/>
    </xf>
    <xf numFmtId="0" fontId="5" fillId="38" borderId="10" pivotButton="0" quotePrefix="0" xfId="0"/>
    <xf numFmtId="0" fontId="3" fillId="38" borderId="0" pivotButton="0" quotePrefix="0" xfId="0"/>
    <xf numFmtId="0" fontId="103" fillId="0" borderId="0" applyAlignment="1" pivotButton="0" quotePrefix="0" xfId="0">
      <alignment horizontal="left" vertical="center"/>
    </xf>
    <xf numFmtId="0" fontId="103" fillId="0" borderId="27" applyAlignment="1" pivotButton="0" quotePrefix="0" xfId="0">
      <alignment horizontal="left" vertical="center"/>
    </xf>
    <xf numFmtId="0" fontId="103" fillId="0" borderId="26" applyAlignment="1" pivotButton="0" quotePrefix="0" xfId="0">
      <alignment horizontal="left" vertical="center"/>
    </xf>
    <xf numFmtId="0" fontId="103" fillId="0" borderId="33" applyAlignment="1" pivotButton="0" quotePrefix="0" xfId="0">
      <alignment horizontal="left" vertical="center"/>
    </xf>
    <xf numFmtId="0" fontId="103" fillId="0" borderId="31" applyAlignment="1" pivotButton="0" quotePrefix="0" xfId="0">
      <alignment horizontal="left" vertical="center"/>
    </xf>
    <xf numFmtId="0" fontId="103" fillId="0" borderId="58" applyAlignment="1" pivotButton="0" quotePrefix="0" xfId="0">
      <alignment horizontal="left" vertical="center"/>
    </xf>
    <xf numFmtId="0" fontId="103" fillId="0" borderId="25" applyAlignment="1" pivotButton="0" quotePrefix="0" xfId="0">
      <alignment horizontal="left" vertical="center"/>
    </xf>
    <xf numFmtId="0" fontId="103" fillId="0" borderId="35" applyAlignment="1" pivotButton="0" quotePrefix="0" xfId="0">
      <alignment horizontal="left" vertical="center"/>
    </xf>
    <xf numFmtId="0" fontId="103" fillId="0" borderId="11" applyAlignment="1" pivotButton="0" quotePrefix="0" xfId="0">
      <alignment horizontal="left" vertical="center"/>
    </xf>
    <xf numFmtId="0" fontId="103" fillId="0" borderId="15" applyAlignment="1" pivotButton="0" quotePrefix="0" xfId="0">
      <alignment horizontal="left" vertical="center"/>
    </xf>
    <xf numFmtId="0" fontId="103" fillId="0" borderId="16" applyAlignment="1" pivotButton="0" quotePrefix="0" xfId="0">
      <alignment horizontal="left" vertical="center"/>
    </xf>
    <xf numFmtId="0" fontId="103" fillId="0" borderId="12" applyAlignment="1" pivotButton="0" quotePrefix="0" xfId="0">
      <alignment horizontal="left" vertical="center"/>
    </xf>
    <xf numFmtId="0" fontId="103" fillId="0" borderId="17" applyAlignment="1" pivotButton="0" quotePrefix="0" xfId="0">
      <alignment horizontal="left" vertical="center"/>
    </xf>
    <xf numFmtId="0" fontId="103" fillId="0" borderId="18" applyAlignment="1" pivotButton="0" quotePrefix="0" xfId="0">
      <alignment horizontal="left" vertical="center"/>
    </xf>
    <xf numFmtId="0" fontId="103" fillId="0" borderId="13" applyAlignment="1" pivotButton="0" quotePrefix="0" xfId="0">
      <alignment horizontal="left" vertical="center"/>
    </xf>
    <xf numFmtId="0" fontId="103" fillId="0" borderId="19" applyAlignment="1" pivotButton="0" quotePrefix="0" xfId="0">
      <alignment horizontal="left" vertical="center"/>
    </xf>
    <xf numFmtId="0" fontId="103" fillId="0" borderId="20" applyAlignment="1" pivotButton="0" quotePrefix="0" xfId="0">
      <alignment horizontal="left" vertical="center"/>
    </xf>
    <xf numFmtId="0" fontId="104" fillId="0" borderId="15" applyAlignment="1" pivotButton="0" quotePrefix="0" xfId="0">
      <alignment horizontal="right" vertical="center"/>
    </xf>
    <xf numFmtId="0" fontId="103" fillId="0" borderId="79" applyAlignment="1" pivotButton="0" quotePrefix="0" xfId="0">
      <alignment horizontal="left" vertical="center"/>
    </xf>
    <xf numFmtId="0" fontId="103" fillId="0" borderId="41" applyAlignment="1" pivotButton="0" quotePrefix="0" xfId="0">
      <alignment horizontal="left" vertical="center"/>
    </xf>
    <xf numFmtId="0" fontId="103" fillId="0" borderId="93" applyAlignment="1" pivotButton="0" quotePrefix="0" xfId="0">
      <alignment horizontal="left" vertical="center"/>
    </xf>
    <xf numFmtId="0" fontId="103" fillId="0" borderId="97" applyAlignment="1" pivotButton="0" quotePrefix="0" xfId="0">
      <alignment horizontal="left" vertical="center"/>
    </xf>
    <xf numFmtId="0" fontId="103" fillId="0" borderId="98" applyAlignment="1" pivotButton="0" quotePrefix="0" xfId="0">
      <alignment horizontal="left" vertical="center"/>
    </xf>
    <xf numFmtId="0" fontId="103" fillId="0" borderId="99" applyAlignment="1" pivotButton="0" quotePrefix="0" xfId="0">
      <alignment horizontal="left" vertical="center"/>
    </xf>
    <xf numFmtId="0" fontId="103" fillId="0" borderId="100" applyAlignment="1" pivotButton="0" quotePrefix="0" xfId="0">
      <alignment horizontal="left" vertical="center"/>
    </xf>
    <xf numFmtId="0" fontId="103" fillId="0" borderId="90" applyAlignment="1" pivotButton="0" quotePrefix="0" xfId="0">
      <alignment horizontal="left" vertical="center"/>
    </xf>
    <xf numFmtId="0" fontId="103" fillId="0" borderId="101" applyAlignment="1" pivotButton="0" quotePrefix="0" xfId="0">
      <alignment horizontal="left" vertical="center"/>
    </xf>
    <xf numFmtId="0" fontId="103" fillId="0" borderId="102" applyAlignment="1" pivotButton="0" quotePrefix="0" xfId="0">
      <alignment horizontal="left" vertical="center"/>
    </xf>
    <xf numFmtId="0" fontId="105" fillId="0" borderId="30" applyAlignment="1" pivotButton="0" quotePrefix="0" xfId="0">
      <alignment horizontal="left" vertical="center"/>
    </xf>
    <xf numFmtId="0" fontId="10" fillId="37" borderId="10" applyProtection="1" pivotButton="0" quotePrefix="1" xfId="0">
      <protection locked="0" hidden="0"/>
    </xf>
    <xf numFmtId="0" fontId="106" fillId="0" borderId="0" applyAlignment="1" pivotButton="0" quotePrefix="0" xfId="0">
      <alignment horizontal="left" vertical="center"/>
    </xf>
    <xf numFmtId="0" fontId="108" fillId="0" borderId="33" applyAlignment="1" pivotButton="0" quotePrefix="0" xfId="0">
      <alignment horizontal="left" vertical="center"/>
    </xf>
    <xf numFmtId="0" fontId="108" fillId="0" borderId="0" applyAlignment="1" pivotButton="0" quotePrefix="0" xfId="0">
      <alignment horizontal="left" vertical="center"/>
    </xf>
    <xf numFmtId="0" fontId="108" fillId="0" borderId="31" applyAlignment="1" pivotButton="0" quotePrefix="0" xfId="0">
      <alignment horizontal="left" vertical="center"/>
    </xf>
    <xf numFmtId="0" fontId="108" fillId="0" borderId="27" applyAlignment="1" pivotButton="0" quotePrefix="0" xfId="0">
      <alignment horizontal="left" vertical="center" indent="1"/>
    </xf>
    <xf numFmtId="0" fontId="108" fillId="0" borderId="30" applyAlignment="1" pivotButton="0" quotePrefix="0" xfId="0">
      <alignment horizontal="left" vertical="center"/>
    </xf>
    <xf numFmtId="0" fontId="108" fillId="0" borderId="26" applyAlignment="1" pivotButton="0" quotePrefix="0" xfId="0">
      <alignment horizontal="left" vertical="center"/>
    </xf>
    <xf numFmtId="0" fontId="108" fillId="0" borderId="27" applyAlignment="1" pivotButton="0" quotePrefix="0" xfId="0">
      <alignment horizontal="left" vertical="center"/>
    </xf>
    <xf numFmtId="0" fontId="108" fillId="0" borderId="58" applyAlignment="1" pivotButton="0" quotePrefix="0" xfId="0">
      <alignment horizontal="left" vertical="center"/>
    </xf>
    <xf numFmtId="0" fontId="108" fillId="0" borderId="35" applyAlignment="1" pivotButton="0" quotePrefix="0" xfId="0">
      <alignment horizontal="left" vertical="center"/>
    </xf>
    <xf numFmtId="0" fontId="108" fillId="0" borderId="58" applyAlignment="1" pivotButton="0" quotePrefix="0" xfId="0">
      <alignment horizontal="left" vertical="center" indent="1"/>
    </xf>
    <xf numFmtId="0" fontId="108" fillId="0" borderId="25" applyAlignment="1" pivotButton="0" quotePrefix="0" xfId="0">
      <alignment horizontal="left" vertical="center"/>
    </xf>
    <xf numFmtId="0" fontId="108" fillId="0" borderId="25" applyAlignment="1" pivotButton="0" quotePrefix="0" xfId="0">
      <alignment horizontal="right" vertical="center"/>
    </xf>
    <xf numFmtId="0" fontId="108" fillId="0" borderId="0" applyAlignment="1" pivotButton="0" quotePrefix="0" xfId="39">
      <alignment horizontal="left" vertical="center" textRotation="255"/>
    </xf>
    <xf numFmtId="0" fontId="108" fillId="0" borderId="31" applyAlignment="1" pivotButton="0" quotePrefix="0" xfId="39">
      <alignment horizontal="left" vertical="center"/>
    </xf>
    <xf numFmtId="0" fontId="108" fillId="0" borderId="0" applyAlignment="1" pivotButton="0" quotePrefix="0" xfId="39">
      <alignment horizontal="left" vertical="center"/>
    </xf>
    <xf numFmtId="0" fontId="108" fillId="0" borderId="27" applyAlignment="1" pivotButton="0" quotePrefix="0" xfId="39">
      <alignment horizontal="left" vertical="center" indent="1"/>
    </xf>
    <xf numFmtId="0" fontId="108" fillId="0" borderId="30" applyAlignment="1" pivotButton="0" quotePrefix="0" xfId="39">
      <alignment horizontal="left" vertical="center"/>
    </xf>
    <xf numFmtId="0" fontId="108" fillId="0" borderId="26" applyAlignment="1" pivotButton="0" quotePrefix="0" xfId="39">
      <alignment horizontal="left" vertical="center"/>
    </xf>
    <xf numFmtId="0" fontId="108" fillId="0" borderId="58" applyAlignment="1" pivotButton="0" quotePrefix="0" xfId="39">
      <alignment horizontal="left" vertical="center"/>
    </xf>
    <xf numFmtId="0" fontId="108" fillId="0" borderId="35" applyAlignment="1" pivotButton="0" quotePrefix="0" xfId="39">
      <alignment horizontal="left" vertical="center"/>
    </xf>
    <xf numFmtId="0" fontId="108" fillId="0" borderId="58" applyAlignment="1" pivotButton="0" quotePrefix="0" xfId="39">
      <alignment horizontal="left" vertical="center" indent="1"/>
    </xf>
    <xf numFmtId="0" fontId="108" fillId="0" borderId="25" applyAlignment="1" pivotButton="0" quotePrefix="0" xfId="39">
      <alignment horizontal="left" vertical="center"/>
    </xf>
    <xf numFmtId="0" fontId="109" fillId="0" borderId="0" applyAlignment="1" pivotButton="0" quotePrefix="1" xfId="0">
      <alignment horizontal="left" vertical="center"/>
    </xf>
    <xf numFmtId="0" fontId="108" fillId="0" borderId="0" applyAlignment="1" pivotButton="0" quotePrefix="0" xfId="0">
      <alignment horizontal="right" vertical="center"/>
    </xf>
    <xf numFmtId="0" fontId="110" fillId="0" borderId="0" applyAlignment="1" pivotButton="0" quotePrefix="0" xfId="0">
      <alignment horizontal="right" vertical="center"/>
    </xf>
    <xf numFmtId="0" fontId="108" fillId="0" borderId="0" applyAlignment="1" pivotButton="0" quotePrefix="1" xfId="0">
      <alignment horizontal="left" vertical="center"/>
    </xf>
    <xf numFmtId="0" fontId="108" fillId="0" borderId="17" applyAlignment="1" pivotButton="0" quotePrefix="0" xfId="0">
      <alignment horizontal="left" vertical="center"/>
    </xf>
    <xf numFmtId="0" fontId="108" fillId="0" borderId="15" applyAlignment="1" pivotButton="0" quotePrefix="0" xfId="0">
      <alignment horizontal="left" vertical="center"/>
    </xf>
    <xf numFmtId="0" fontId="108" fillId="0" borderId="13" applyAlignment="1" pivotButton="0" quotePrefix="0" xfId="0">
      <alignment horizontal="left" vertical="center"/>
    </xf>
    <xf numFmtId="0" fontId="113" fillId="0" borderId="96" applyAlignment="1" pivotButton="0" quotePrefix="0" xfId="0">
      <alignment horizontal="left" vertical="center"/>
    </xf>
    <xf numFmtId="14" fontId="108" fillId="0" borderId="79" applyAlignment="1" pivotButton="0" quotePrefix="1" xfId="0">
      <alignment horizontal="left" vertical="center"/>
    </xf>
    <xf numFmtId="0" fontId="108" fillId="0" borderId="41" applyAlignment="1" pivotButton="0" quotePrefix="0" xfId="0">
      <alignment horizontal="left" vertical="center"/>
    </xf>
    <xf numFmtId="0" fontId="108" fillId="0" borderId="79" applyAlignment="1" pivotButton="0" quotePrefix="0" xfId="0">
      <alignment horizontal="left" vertical="center"/>
    </xf>
    <xf numFmtId="0" fontId="108" fillId="0" borderId="40" applyAlignment="1" pivotButton="0" quotePrefix="0" xfId="0">
      <alignment horizontal="left" vertical="center"/>
    </xf>
    <xf numFmtId="0" fontId="108" fillId="0" borderId="19" applyAlignment="1" pivotButton="0" quotePrefix="0" xfId="0">
      <alignment horizontal="left" vertical="center"/>
    </xf>
    <xf numFmtId="0" fontId="108" fillId="0" borderId="102" applyAlignment="1" pivotButton="0" quotePrefix="0" xfId="0">
      <alignment horizontal="left" vertical="center"/>
    </xf>
    <xf numFmtId="0" fontId="107" fillId="0" borderId="17" applyAlignment="1" pivotButton="0" quotePrefix="0" xfId="0">
      <alignment horizontal="right" vertical="center"/>
    </xf>
    <xf numFmtId="0" fontId="107" fillId="0" borderId="25" applyAlignment="1" pivotButton="0" quotePrefix="0" xfId="0">
      <alignment horizontal="right" vertical="center"/>
    </xf>
    <xf numFmtId="0" fontId="106" fillId="0" borderId="99" applyAlignment="1" pivotButton="0" quotePrefix="0" xfId="0">
      <alignment horizontal="left" vertical="center"/>
    </xf>
    <xf numFmtId="0" fontId="106" fillId="0" borderId="91" applyAlignment="1" pivotButton="0" quotePrefix="0" xfId="0">
      <alignment horizontal="left" vertical="center"/>
    </xf>
    <xf numFmtId="0" fontId="106" fillId="0" borderId="15" applyAlignment="1" pivotButton="0" quotePrefix="0" xfId="0">
      <alignment horizontal="left" vertical="center"/>
    </xf>
    <xf numFmtId="0" fontId="107" fillId="0" borderId="15" applyAlignment="1" pivotButton="0" quotePrefix="0" xfId="0">
      <alignment horizontal="right" vertical="center"/>
    </xf>
    <xf numFmtId="0" fontId="106" fillId="0" borderId="79" applyAlignment="1" pivotButton="0" quotePrefix="0" xfId="0">
      <alignment horizontal="left" vertical="center"/>
    </xf>
    <xf numFmtId="0" fontId="106" fillId="0" borderId="93" applyAlignment="1" pivotButton="0" quotePrefix="0" xfId="0">
      <alignment horizontal="left" vertical="center"/>
    </xf>
    <xf numFmtId="0" fontId="106" fillId="0" borderId="96" applyAlignment="1" pivotButton="0" quotePrefix="0" xfId="0">
      <alignment horizontal="left" vertical="center"/>
    </xf>
    <xf numFmtId="0" fontId="114" fillId="0" borderId="0" applyAlignment="1" pivotButton="0" quotePrefix="0" xfId="0">
      <alignment horizontal="left" vertical="center"/>
    </xf>
    <xf numFmtId="168" fontId="112" fillId="0" borderId="17" applyAlignment="1" pivotButton="0" quotePrefix="1" xfId="47">
      <alignment horizontal="left" vertical="center"/>
    </xf>
    <xf numFmtId="9" fontId="112" fillId="0" borderId="26" applyAlignment="1" pivotButton="0" quotePrefix="1" xfId="0">
      <alignment horizontal="left" vertical="center"/>
    </xf>
    <xf numFmtId="0" fontId="112" fillId="0" borderId="25" applyAlignment="1" pivotButton="0" quotePrefix="0" xfId="0">
      <alignment horizontal="left" vertical="center"/>
    </xf>
    <xf numFmtId="0" fontId="112" fillId="0" borderId="33" applyAlignment="1" pivotButton="0" quotePrefix="0" xfId="0">
      <alignment horizontal="right" vertical="center"/>
    </xf>
    <xf numFmtId="0" fontId="111" fillId="0" borderId="25" applyAlignment="1" pivotButton="0" quotePrefix="0" xfId="0">
      <alignment horizontal="left" vertical="center"/>
    </xf>
    <xf numFmtId="0" fontId="112" fillId="0" borderId="0" applyAlignment="1" pivotButton="0" quotePrefix="0" xfId="0">
      <alignment horizontal="left" vertical="center"/>
    </xf>
    <xf numFmtId="0" fontId="110" fillId="0" borderId="25" applyAlignment="1" pivotButton="0" quotePrefix="0" xfId="0">
      <alignment horizontal="right" vertical="center"/>
    </xf>
    <xf numFmtId="0" fontId="106" fillId="0" borderId="27" applyAlignment="1" pivotButton="0" quotePrefix="0" xfId="0">
      <alignment horizontal="left" vertical="center"/>
    </xf>
    <xf numFmtId="0" fontId="108" fillId="0" borderId="96" applyAlignment="1" pivotButton="0" quotePrefix="0" xfId="0">
      <alignment horizontal="left" vertical="center"/>
    </xf>
    <xf numFmtId="0" fontId="108" fillId="0" borderId="101" applyAlignment="1" pivotButton="0" quotePrefix="0" xfId="0">
      <alignment horizontal="left" vertical="center"/>
    </xf>
    <xf numFmtId="0" fontId="116" fillId="0" borderId="58" applyAlignment="1" pivotButton="0" quotePrefix="0" xfId="0">
      <alignment horizontal="left" vertical="center"/>
    </xf>
    <xf numFmtId="166" fontId="112" fillId="0" borderId="26" applyAlignment="1" pivotButton="0" quotePrefix="1" xfId="0">
      <alignment horizontal="right" vertical="center"/>
    </xf>
    <xf numFmtId="166" fontId="112" fillId="0" borderId="25" applyAlignment="1" pivotButton="0" quotePrefix="0" xfId="0">
      <alignment horizontal="right" vertical="center"/>
    </xf>
    <xf numFmtId="0" fontId="10" fillId="39" borderId="10" applyProtection="1" pivotButton="0" quotePrefix="0" xfId="0">
      <protection locked="0" hidden="0"/>
    </xf>
    <xf numFmtId="0" fontId="101" fillId="39" borderId="18" applyAlignment="1" applyProtection="1" pivotButton="0" quotePrefix="0" xfId="0">
      <alignment horizontal="center" vertical="center"/>
      <protection locked="0" hidden="0"/>
    </xf>
    <xf numFmtId="0" fontId="44" fillId="39" borderId="18" applyAlignment="1" applyProtection="1" pivotButton="0" quotePrefix="0" xfId="0">
      <alignment horizontal="center" vertical="center"/>
      <protection locked="0" hidden="0"/>
    </xf>
    <xf numFmtId="0" fontId="44" fillId="39" borderId="16" applyAlignment="1" applyProtection="1" pivotButton="0" quotePrefix="0" xfId="0">
      <alignment horizontal="center" vertical="center"/>
      <protection locked="0" hidden="0"/>
    </xf>
    <xf numFmtId="0" fontId="10" fillId="39" borderId="16" applyProtection="1" pivotButton="0" quotePrefix="0" xfId="0">
      <protection locked="0" hidden="0"/>
    </xf>
    <xf numFmtId="0" fontId="5" fillId="39" borderId="16" applyAlignment="1" applyProtection="1" pivotButton="0" quotePrefix="0" xfId="0">
      <alignment horizontal="center"/>
      <protection locked="0" hidden="0"/>
    </xf>
    <xf numFmtId="0" fontId="106" fillId="0" borderId="26" applyAlignment="1" pivotButton="0" quotePrefix="0" xfId="0">
      <alignment horizontal="left" vertical="center"/>
    </xf>
    <xf numFmtId="0" fontId="106" fillId="0" borderId="25" applyAlignment="1" pivotButton="0" quotePrefix="0" xfId="0">
      <alignment horizontal="left" vertical="center"/>
    </xf>
    <xf numFmtId="0" fontId="2" fillId="0" borderId="0" pivotButton="0" quotePrefix="0" xfId="0"/>
    <xf numFmtId="0" fontId="112" fillId="0" borderId="0" applyAlignment="1" pivotButton="0" quotePrefix="0" xfId="0">
      <alignment horizontal="right" vertical="center"/>
    </xf>
    <xf numFmtId="0" fontId="108" fillId="0" borderId="0" applyAlignment="1" pivotButton="0" quotePrefix="0" xfId="0">
      <alignment horizontal="right" vertical="center" indent="1"/>
    </xf>
    <xf numFmtId="0" fontId="108" fillId="0" borderId="0" applyAlignment="1" pivotButton="0" quotePrefix="0" xfId="39">
      <alignment horizontal="right" vertical="center" indent="1"/>
    </xf>
    <xf numFmtId="0" fontId="108" fillId="0" borderId="0" applyAlignment="1" pivotButton="0" quotePrefix="0" xfId="39">
      <alignment horizontal="right" vertical="center"/>
    </xf>
    <xf numFmtId="0" fontId="110" fillId="0" borderId="12" applyAlignment="1" pivotButton="0" quotePrefix="0" xfId="0">
      <alignment horizontal="right" vertical="center"/>
    </xf>
    <xf numFmtId="0" fontId="0" fillId="0" borderId="17" pivotButton="0" quotePrefix="0" xfId="0"/>
    <xf numFmtId="0" fontId="108" fillId="0" borderId="18" applyAlignment="1" pivotButton="0" quotePrefix="0" xfId="0">
      <alignment horizontal="left" vertical="center"/>
    </xf>
    <xf numFmtId="0" fontId="110" fillId="0" borderId="14" applyAlignment="1" pivotButton="0" quotePrefix="0" xfId="0">
      <alignment horizontal="right" vertical="center"/>
    </xf>
    <xf numFmtId="0" fontId="108" fillId="0" borderId="21" applyAlignment="1" pivotButton="0" quotePrefix="0" xfId="0">
      <alignment horizontal="left" vertical="center"/>
    </xf>
    <xf numFmtId="0" fontId="0" fillId="0" borderId="19" pivotButton="0" quotePrefix="0" xfId="0"/>
    <xf numFmtId="0" fontId="0" fillId="0" borderId="20" pivotButton="0" quotePrefix="0" xfId="0"/>
    <xf numFmtId="0" fontId="110" fillId="0" borderId="17" applyAlignment="1" pivotButton="0" quotePrefix="0" xfId="0">
      <alignment horizontal="right" vertical="center"/>
    </xf>
    <xf numFmtId="0" fontId="109" fillId="0" borderId="21" applyAlignment="1" pivotButton="0" quotePrefix="1" xfId="0">
      <alignment horizontal="left" vertical="center"/>
    </xf>
    <xf numFmtId="9" fontId="99" fillId="37" borderId="10" applyProtection="1" pivotButton="0" quotePrefix="0" xfId="0">
      <protection locked="0" hidden="0"/>
    </xf>
    <xf numFmtId="0" fontId="3" fillId="0" borderId="0" applyAlignment="1" pivotButton="0" quotePrefix="0" xfId="0">
      <alignment horizontal="right" indent="1"/>
    </xf>
    <xf numFmtId="13" fontId="112" fillId="0" borderId="0" applyAlignment="1" pivotButton="0" quotePrefix="1" xfId="0">
      <alignment horizontal="left" vertical="center"/>
    </xf>
    <xf numFmtId="0" fontId="3" fillId="0" borderId="0" pivotButton="0" quotePrefix="0" xfId="0"/>
    <xf numFmtId="0" fontId="105" fillId="0" borderId="26" applyAlignment="1" pivotButton="0" quotePrefix="0" xfId="0">
      <alignment horizontal="left" vertical="center"/>
    </xf>
    <xf numFmtId="0" fontId="105" fillId="0" borderId="25" applyAlignment="1" pivotButton="0" quotePrefix="0" xfId="0">
      <alignment horizontal="left" vertical="center"/>
    </xf>
    <xf numFmtId="0" fontId="103" fillId="0" borderId="17" applyAlignment="1" pivotButton="0" quotePrefix="0" xfId="0">
      <alignment horizontal="right" vertical="center"/>
    </xf>
    <xf numFmtId="9" fontId="108" fillId="0" borderId="26" applyAlignment="1" pivotButton="0" quotePrefix="0" xfId="46">
      <alignment horizontal="left" vertical="center"/>
    </xf>
    <xf numFmtId="9" fontId="108" fillId="0" borderId="25" applyAlignment="1" pivotButton="0" quotePrefix="0" xfId="46">
      <alignment horizontal="left" vertical="center"/>
    </xf>
    <xf numFmtId="22" fontId="103" fillId="0" borderId="19" applyAlignment="1" pivotButton="0" quotePrefix="0" xfId="0">
      <alignment horizontal="centerContinuous" vertical="center"/>
    </xf>
    <xf numFmtId="0" fontId="103" fillId="0" borderId="19" applyAlignment="1" pivotButton="0" quotePrefix="0" xfId="0">
      <alignment horizontal="centerContinuous" vertical="center"/>
    </xf>
    <xf numFmtId="0" fontId="103" fillId="0" borderId="98" applyAlignment="1" pivotButton="0" quotePrefix="0" xfId="0">
      <alignment horizontal="centerContinuous" vertical="center"/>
    </xf>
    <xf numFmtId="0" fontId="108" fillId="0" borderId="26" applyAlignment="1" pivotButton="0" quotePrefix="1" xfId="0">
      <alignment horizontal="centerContinuous" vertical="center"/>
    </xf>
    <xf numFmtId="0" fontId="103" fillId="0" borderId="26" applyAlignment="1" pivotButton="0" quotePrefix="0" xfId="0">
      <alignment horizontal="centerContinuous" vertical="center"/>
    </xf>
    <xf numFmtId="0" fontId="103" fillId="0" borderId="30" applyAlignment="1" pivotButton="0" quotePrefix="0" xfId="0">
      <alignment horizontal="centerContinuous" vertical="center"/>
    </xf>
    <xf numFmtId="22" fontId="105" fillId="0" borderId="26" applyAlignment="1" pivotButton="0" quotePrefix="1" xfId="0">
      <alignment horizontal="centerContinuous" vertical="center"/>
    </xf>
    <xf numFmtId="0" fontId="105" fillId="0" borderId="26" applyAlignment="1" pivotButton="0" quotePrefix="0" xfId="0">
      <alignment horizontal="centerContinuous" vertical="center"/>
    </xf>
    <xf numFmtId="0" fontId="105" fillId="0" borderId="30" applyAlignment="1" pivotButton="0" quotePrefix="0" xfId="0">
      <alignment horizontal="centerContinuous" vertical="center"/>
    </xf>
    <xf numFmtId="0" fontId="103" fillId="0" borderId="35" applyAlignment="1" pivotButton="0" quotePrefix="0" xfId="0">
      <alignment horizontal="right" vertical="center" indent="1"/>
    </xf>
    <xf numFmtId="0" fontId="103" fillId="0" borderId="25" applyAlignment="1" pivotButton="0" quotePrefix="0" xfId="0">
      <alignment horizontal="right" vertical="center"/>
    </xf>
    <xf numFmtId="0" fontId="115" fillId="0" borderId="33" applyAlignment="1" pivotButton="0" quotePrefix="0" xfId="0">
      <alignment horizontal="left" vertical="center"/>
    </xf>
    <xf numFmtId="0" fontId="108" fillId="0" borderId="31" applyAlignment="1" pivotButton="0" quotePrefix="0" xfId="0">
      <alignment horizontal="right" vertical="center" indent="1"/>
    </xf>
    <xf numFmtId="0" fontId="103" fillId="0" borderId="26" applyAlignment="1" pivotButton="0" quotePrefix="0" xfId="0">
      <alignment horizontal="right" vertical="center"/>
    </xf>
    <xf numFmtId="0" fontId="112" fillId="0" borderId="33" applyAlignment="1" pivotButton="0" quotePrefix="0" xfId="0">
      <alignment horizontal="left" vertical="center"/>
    </xf>
    <xf numFmtId="0" fontId="108" fillId="0" borderId="31" applyAlignment="1" pivotButton="0" quotePrefix="0" xfId="39">
      <alignment horizontal="right" vertical="center" indent="1"/>
    </xf>
    <xf numFmtId="0" fontId="108" fillId="0" borderId="26" applyAlignment="1" pivotButton="0" quotePrefix="0" xfId="0">
      <alignment horizontal="left" vertical="center" indent="1"/>
    </xf>
    <xf numFmtId="0" fontId="112" fillId="0" borderId="25" applyAlignment="1" pivotButton="0" quotePrefix="0" xfId="0">
      <alignment horizontal="right" vertical="center"/>
    </xf>
    <xf numFmtId="2" fontId="112" fillId="0" borderId="26" applyAlignment="1" pivotButton="0" quotePrefix="1" xfId="0">
      <alignment horizontal="right" vertical="center"/>
    </xf>
    <xf numFmtId="0" fontId="112" fillId="0" borderId="0" applyAlignment="1" pivotButton="0" quotePrefix="1" xfId="0">
      <alignment horizontal="left" vertical="center"/>
    </xf>
    <xf numFmtId="0" fontId="0" fillId="0" borderId="13" pivotButton="0" quotePrefix="0" xfId="0"/>
    <xf numFmtId="0" fontId="2" fillId="25" borderId="10" applyAlignment="1" pivotButton="0" quotePrefix="0" xfId="39">
      <alignment horizontal="center" vertical="center"/>
    </xf>
    <xf numFmtId="0" fontId="114" fillId="40" borderId="12" applyAlignment="1" pivotButton="0" quotePrefix="0" xfId="0">
      <alignment horizontal="left" vertical="center"/>
    </xf>
    <xf numFmtId="0" fontId="0" fillId="40" borderId="17" pivotButton="0" quotePrefix="0" xfId="0"/>
    <xf numFmtId="0" fontId="0" fillId="40" borderId="18" pivotButton="0" quotePrefix="0" xfId="0"/>
    <xf numFmtId="0" fontId="108" fillId="40" borderId="0" applyAlignment="1" pivotButton="0" quotePrefix="0" xfId="0">
      <alignment horizontal="left" vertical="center"/>
    </xf>
    <xf numFmtId="0" fontId="109" fillId="40" borderId="0" applyAlignment="1" pivotButton="0" quotePrefix="1" xfId="0">
      <alignment horizontal="left" vertical="center"/>
    </xf>
    <xf numFmtId="0" fontId="108" fillId="40" borderId="31" applyAlignment="1" pivotButton="0" quotePrefix="0" xfId="0">
      <alignment horizontal="left" vertical="center"/>
    </xf>
    <xf numFmtId="0" fontId="103" fillId="40" borderId="0" applyAlignment="1" pivotButton="0" quotePrefix="0" xfId="0">
      <alignment horizontal="left" vertical="center"/>
    </xf>
    <xf numFmtId="0" fontId="110" fillId="40" borderId="0" applyAlignment="1" pivotButton="0" quotePrefix="0" xfId="0">
      <alignment horizontal="right" vertical="center"/>
    </xf>
    <xf numFmtId="0" fontId="108" fillId="40" borderId="25" applyAlignment="1" pivotButton="0" quotePrefix="0" xfId="0">
      <alignment horizontal="left" vertical="center"/>
    </xf>
    <xf numFmtId="0" fontId="111" fillId="40" borderId="25" applyAlignment="1" pivotButton="0" quotePrefix="0" xfId="0">
      <alignment horizontal="left" vertical="center"/>
    </xf>
    <xf numFmtId="0" fontId="108" fillId="40" borderId="35" applyAlignment="1" pivotButton="0" quotePrefix="0" xfId="0">
      <alignment horizontal="left" vertical="center"/>
    </xf>
    <xf numFmtId="0" fontId="109" fillId="40" borderId="25" applyAlignment="1" pivotButton="0" quotePrefix="0" xfId="0">
      <alignment horizontal="right" vertical="center"/>
    </xf>
    <xf numFmtId="0" fontId="117" fillId="0" borderId="0" applyAlignment="1" pivotButton="0" quotePrefix="0" xfId="0">
      <alignment vertical="top" wrapText="1"/>
    </xf>
    <xf numFmtId="0" fontId="2" fillId="33" borderId="0" pivotButton="0" quotePrefix="0" xfId="39"/>
    <xf numFmtId="0" fontId="3" fillId="0" borderId="0" applyAlignment="1" pivotButton="0" quotePrefix="0" xfId="0">
      <alignment wrapText="1"/>
    </xf>
    <xf numFmtId="0" fontId="0" fillId="0" borderId="0" applyAlignment="1" pivotButton="0" quotePrefix="0" xfId="0">
      <alignment wrapText="1"/>
    </xf>
    <xf numFmtId="0" fontId="121" fillId="0" borderId="0" pivotButton="0" quotePrefix="0" xfId="0"/>
    <xf numFmtId="0" fontId="0" fillId="0" borderId="46" pivotButton="0" quotePrefix="0" xfId="0"/>
    <xf numFmtId="0" fontId="0" fillId="0" borderId="103" pivotButton="0" quotePrefix="0" xfId="0"/>
    <xf numFmtId="0" fontId="0" fillId="0" borderId="104" pivotButton="0" quotePrefix="0" xfId="0"/>
    <xf numFmtId="0" fontId="0" fillId="0" borderId="105" pivotButton="0" quotePrefix="0" xfId="0"/>
    <xf numFmtId="0" fontId="0" fillId="0" borderId="106" pivotButton="0" quotePrefix="0" xfId="0"/>
    <xf numFmtId="0" fontId="0" fillId="0" borderId="107" pivotButton="0" quotePrefix="0" xfId="0"/>
    <xf numFmtId="0" fontId="2" fillId="0" borderId="106" pivotButton="0" quotePrefix="0" xfId="0"/>
    <xf numFmtId="0" fontId="0" fillId="0" borderId="108" pivotButton="0" quotePrefix="0" xfId="0"/>
    <xf numFmtId="0" fontId="0" fillId="0" borderId="109" pivotButton="0" quotePrefix="0" xfId="0"/>
    <xf numFmtId="0" fontId="0" fillId="0" borderId="110" pivotButton="0" quotePrefix="0" xfId="0"/>
    <xf numFmtId="0" fontId="120" fillId="0" borderId="0" pivotButton="0" quotePrefix="0" xfId="48"/>
    <xf numFmtId="0" fontId="120" fillId="0" borderId="0" applyAlignment="1" pivotButton="0" quotePrefix="0" xfId="48">
      <alignment wrapText="1"/>
    </xf>
    <xf numFmtId="0" fontId="122" fillId="0" borderId="0" pivotButton="0" quotePrefix="0" xfId="0"/>
    <xf numFmtId="0" fontId="13" fillId="0" borderId="0" pivotButton="0" quotePrefix="0" xfId="0"/>
    <xf numFmtId="0" fontId="2" fillId="0" borderId="0" pivotButton="0" quotePrefix="1" xfId="0"/>
    <xf numFmtId="0" fontId="15" fillId="0" borderId="0" pivotButton="0" quotePrefix="0" xfId="0"/>
    <xf numFmtId="0" fontId="118" fillId="0" borderId="0" pivotButton="0" quotePrefix="1" xfId="0"/>
    <xf numFmtId="0" fontId="127" fillId="0" borderId="0" pivotButton="0" quotePrefix="0" xfId="0"/>
    <xf numFmtId="0" fontId="5" fillId="30" borderId="10" applyAlignment="1" applyProtection="1" pivotButton="0" quotePrefix="0" xfId="0">
      <alignment horizontal="center"/>
      <protection locked="0" hidden="0"/>
    </xf>
    <xf numFmtId="0" fontId="5" fillId="30" borderId="11" applyAlignment="1" applyProtection="1" pivotButton="0" quotePrefix="0" xfId="0">
      <alignment horizontal="center"/>
      <protection locked="0" hidden="0"/>
    </xf>
    <xf numFmtId="0" fontId="0" fillId="30" borderId="10" applyAlignment="1" applyProtection="1" pivotButton="0" quotePrefix="0" xfId="0">
      <alignment horizontal="center"/>
      <protection locked="0" hidden="0"/>
    </xf>
    <xf numFmtId="0" fontId="0" fillId="30" borderId="11" applyAlignment="1" applyProtection="1" pivotButton="0" quotePrefix="0" xfId="0">
      <alignment horizontal="center"/>
      <protection locked="0" hidden="0"/>
    </xf>
    <xf numFmtId="0" fontId="10" fillId="0" borderId="0" applyAlignment="1" pivotButton="0" quotePrefix="0" xfId="0">
      <alignment horizontal="center"/>
    </xf>
    <xf numFmtId="0" fontId="51" fillId="33" borderId="10" applyAlignment="1" pivotButton="0" quotePrefix="0" xfId="39">
      <alignment horizontal="center" wrapText="1"/>
    </xf>
    <xf numFmtId="0" fontId="51" fillId="33" borderId="10" applyAlignment="1" pivotButton="0" quotePrefix="0" xfId="39">
      <alignment horizontal="left"/>
    </xf>
    <xf numFmtId="0" fontId="55" fillId="0" borderId="43" applyAlignment="1" pivotButton="0" quotePrefix="0" xfId="39">
      <alignment horizontal="left"/>
    </xf>
    <xf numFmtId="0" fontId="51" fillId="33" borderId="93" applyAlignment="1" pivotButton="0" quotePrefix="0" xfId="39">
      <alignment horizontal="centerContinuous" vertical="center"/>
    </xf>
    <xf numFmtId="0" fontId="51" fillId="33" borderId="79" applyAlignment="1" pivotButton="0" quotePrefix="0" xfId="39">
      <alignment horizontal="centerContinuous" vertical="center"/>
    </xf>
    <xf numFmtId="0" fontId="51" fillId="33" borderId="80" applyAlignment="1" pivotButton="0" quotePrefix="0" xfId="39">
      <alignment horizontal="centerContinuous" vertical="center"/>
    </xf>
    <xf numFmtId="0" fontId="51" fillId="33" borderId="73" applyAlignment="1" pivotButton="0" quotePrefix="0" xfId="39">
      <alignment horizontal="centerContinuous" vertical="center"/>
    </xf>
    <xf numFmtId="0" fontId="51" fillId="33" borderId="77" applyAlignment="1" pivotButton="0" quotePrefix="0" xfId="39">
      <alignment horizontal="centerContinuous" vertical="center"/>
    </xf>
    <xf numFmtId="0" fontId="51" fillId="33" borderId="78" applyAlignment="1" pivotButton="0" quotePrefix="0" xfId="39">
      <alignment horizontal="centerContinuous" vertical="center"/>
    </xf>
    <xf numFmtId="0" fontId="108" fillId="0" borderId="73" applyAlignment="1" pivotButton="0" quotePrefix="0" xfId="0">
      <alignment horizontal="left" vertical="center"/>
    </xf>
    <xf numFmtId="0" fontId="108" fillId="0" borderId="77" applyAlignment="1" pivotButton="0" quotePrefix="0" xfId="0">
      <alignment horizontal="left" vertical="center"/>
    </xf>
    <xf numFmtId="0" fontId="108" fillId="0" borderId="78" applyAlignment="1" pivotButton="0" quotePrefix="0" xfId="0">
      <alignment horizontal="left" vertical="center"/>
    </xf>
    <xf numFmtId="0" fontId="0" fillId="0" borderId="21" pivotButton="0" quotePrefix="0" xfId="0"/>
    <xf numFmtId="0" fontId="10" fillId="28" borderId="13" pivotButton="0" quotePrefix="0" xfId="0"/>
    <xf numFmtId="0" fontId="5" fillId="0" borderId="20" pivotButton="0" quotePrefix="0" xfId="0"/>
    <xf numFmtId="0" fontId="54" fillId="0" borderId="78" applyAlignment="1" pivotButton="0" quotePrefix="0" xfId="39">
      <alignment horizontal="center" vertical="center"/>
    </xf>
    <xf numFmtId="0" fontId="48" fillId="0" borderId="78" applyAlignment="1" pivotButton="0" quotePrefix="0" xfId="39">
      <alignment horizontal="left" vertical="center" wrapText="1"/>
    </xf>
    <xf numFmtId="0" fontId="18" fillId="0" borderId="10" applyAlignment="1" pivotButton="0" quotePrefix="0" xfId="39">
      <alignment horizontal="right" vertical="center"/>
    </xf>
    <xf numFmtId="0" fontId="53" fillId="0" borderId="19" applyAlignment="1" applyProtection="1" pivotButton="0" quotePrefix="0" xfId="39">
      <alignment horizontal="right" vertical="center"/>
      <protection locked="0" hidden="0"/>
    </xf>
    <xf numFmtId="0" fontId="55" fillId="0" borderId="19" applyAlignment="1" pivotButton="0" quotePrefix="0" xfId="39">
      <alignment horizontal="center" vertical="center"/>
    </xf>
    <xf numFmtId="2" fontId="22" fillId="38" borderId="0" pivotButton="0" quotePrefix="0" xfId="0"/>
    <xf numFmtId="0" fontId="63" fillId="29" borderId="22" applyAlignment="1" pivotButton="0" quotePrefix="0" xfId="0">
      <alignment horizontal="center" vertical="center" wrapText="1"/>
    </xf>
    <xf numFmtId="0" fontId="63" fillId="29" borderId="24" applyAlignment="1" pivotButton="0" quotePrefix="0" xfId="0">
      <alignment horizontal="center" vertical="center" wrapText="1"/>
    </xf>
    <xf numFmtId="0" fontId="117" fillId="0" borderId="14" applyAlignment="1" pivotButton="0" quotePrefix="0" xfId="0">
      <alignment horizontal="left" vertical="top" wrapText="1"/>
    </xf>
    <xf numFmtId="0" fontId="117" fillId="0" borderId="0" applyAlignment="1" pivotButton="0" quotePrefix="0" xfId="0">
      <alignment horizontal="left" vertical="top" wrapText="1"/>
    </xf>
    <xf numFmtId="0" fontId="117" fillId="0" borderId="21" applyAlignment="1" pivotButton="0" quotePrefix="0" xfId="0">
      <alignment horizontal="left" vertical="top" wrapText="1"/>
    </xf>
    <xf numFmtId="0" fontId="117" fillId="0" borderId="13" applyAlignment="1" pivotButton="0" quotePrefix="0" xfId="0">
      <alignment horizontal="left" vertical="top" wrapText="1"/>
    </xf>
    <xf numFmtId="0" fontId="117" fillId="0" borderId="19" applyAlignment="1" pivotButton="0" quotePrefix="0" xfId="0">
      <alignment horizontal="left" vertical="top" wrapText="1"/>
    </xf>
    <xf numFmtId="0" fontId="117" fillId="0" borderId="20" applyAlignment="1" pivotButton="0" quotePrefix="0" xfId="0">
      <alignment horizontal="left" vertical="top" wrapText="1"/>
    </xf>
    <xf numFmtId="0" fontId="2" fillId="0" borderId="11" applyAlignment="1" pivotButton="0" quotePrefix="0" xfId="39">
      <alignment horizontal="left"/>
    </xf>
    <xf numFmtId="0" fontId="2" fillId="0" borderId="15" applyAlignment="1" pivotButton="0" quotePrefix="0" xfId="39">
      <alignment horizontal="left"/>
    </xf>
    <xf numFmtId="0" fontId="2" fillId="0" borderId="16" applyAlignment="1" pivotButton="0" quotePrefix="0" xfId="39">
      <alignment horizontal="left"/>
    </xf>
    <xf numFmtId="0" fontId="13" fillId="0" borderId="38" applyAlignment="1" pivotButton="0" quotePrefix="0" xfId="39">
      <alignment horizontal="right"/>
    </xf>
    <xf numFmtId="0" fontId="2" fillId="0" borderId="39" pivotButton="0" quotePrefix="0" xfId="39"/>
    <xf numFmtId="0" fontId="2" fillId="0" borderId="11" applyAlignment="1" pivotButton="0" quotePrefix="0" xfId="39">
      <alignment horizontal="center"/>
    </xf>
    <xf numFmtId="0" fontId="2" fillId="0" borderId="15" applyAlignment="1" pivotButton="0" quotePrefix="0" xfId="39">
      <alignment horizontal="center"/>
    </xf>
    <xf numFmtId="0" fontId="2" fillId="0" borderId="16" applyAlignment="1" pivotButton="0" quotePrefix="0" xfId="39">
      <alignment horizontal="center"/>
    </xf>
    <xf numFmtId="0" fontId="2" fillId="0" borderId="40" pivotButton="0" quotePrefix="0" xfId="39"/>
    <xf numFmtId="0" fontId="2" fillId="0" borderId="41" pivotButton="0" quotePrefix="0" xfId="39"/>
    <xf numFmtId="0" fontId="15" fillId="25" borderId="11" applyAlignment="1" pivotButton="0" quotePrefix="0" xfId="39">
      <alignment horizontal="center" vertical="center"/>
    </xf>
    <xf numFmtId="0" fontId="15" fillId="25" borderId="15" applyAlignment="1" pivotButton="0" quotePrefix="0" xfId="39">
      <alignment horizontal="center" vertical="center"/>
    </xf>
    <xf numFmtId="0" fontId="15" fillId="25" borderId="16" applyAlignment="1" pivotButton="0" quotePrefix="0" xfId="39">
      <alignment horizontal="center" vertical="center"/>
    </xf>
    <xf numFmtId="0" fontId="2" fillId="25" borderId="10" applyAlignment="1" pivotButton="0" quotePrefix="0" xfId="39">
      <alignment horizontal="center" vertical="center" wrapText="1"/>
    </xf>
    <xf numFmtId="0" fontId="2" fillId="0" borderId="10" applyAlignment="1" pivotButton="0" quotePrefix="0" xfId="39">
      <alignment horizontal="center" vertical="center" wrapText="1"/>
    </xf>
    <xf numFmtId="0" fontId="2" fillId="25" borderId="10" applyAlignment="1" pivotButton="0" quotePrefix="0" xfId="39">
      <alignment horizontal="center" vertical="center" wrapText="1" shrinkToFit="1"/>
    </xf>
    <xf numFmtId="0" fontId="2" fillId="0" borderId="10" applyAlignment="1" pivotButton="0" quotePrefix="0" xfId="39">
      <alignment horizontal="center" vertical="center" wrapText="1" shrinkToFit="1"/>
    </xf>
    <xf numFmtId="0" fontId="14" fillId="25" borderId="11" applyAlignment="1" pivotButton="0" quotePrefix="0" xfId="39">
      <alignment horizontal="center" vertical="center"/>
    </xf>
    <xf numFmtId="0" fontId="14" fillId="25" borderId="15" applyAlignment="1" pivotButton="0" quotePrefix="0" xfId="39">
      <alignment horizontal="center" vertical="center"/>
    </xf>
    <xf numFmtId="0" fontId="14" fillId="25" borderId="16" applyAlignment="1" pivotButton="0" quotePrefix="0" xfId="39">
      <alignment horizontal="center" vertical="center"/>
    </xf>
    <xf numFmtId="0" fontId="2" fillId="0" borderId="10" applyAlignment="1" pivotButton="0" quotePrefix="0" xfId="39">
      <alignment wrapText="1"/>
    </xf>
    <xf numFmtId="0" fontId="3" fillId="0" borderId="0" pivotButton="0" quotePrefix="0" xfId="39"/>
    <xf numFmtId="0" fontId="2" fillId="0" borderId="12" pivotButton="0" quotePrefix="0" xfId="39"/>
    <xf numFmtId="0" fontId="2" fillId="0" borderId="18" pivotButton="0" quotePrefix="0" xfId="39"/>
    <xf numFmtId="0" fontId="2" fillId="0" borderId="17" pivotButton="0" quotePrefix="0" xfId="39"/>
    <xf numFmtId="0" fontId="3" fillId="0" borderId="22" applyAlignment="1" pivotButton="0" quotePrefix="0" xfId="39">
      <alignment horizontal="center"/>
    </xf>
    <xf numFmtId="0" fontId="2" fillId="0" borderId="22" applyAlignment="1" pivotButton="0" quotePrefix="0" xfId="39">
      <alignment horizontal="center"/>
    </xf>
    <xf numFmtId="0" fontId="50" fillId="0" borderId="11" applyAlignment="1" pivotButton="0" quotePrefix="0" xfId="39">
      <alignment wrapText="1"/>
    </xf>
    <xf numFmtId="0" fontId="50" fillId="0" borderId="15" applyAlignment="1" pivotButton="0" quotePrefix="0" xfId="39">
      <alignment wrapText="1"/>
    </xf>
    <xf numFmtId="0" fontId="50" fillId="0" borderId="16" applyAlignment="1" pivotButton="0" quotePrefix="0" xfId="39">
      <alignment wrapText="1"/>
    </xf>
    <xf numFmtId="0" fontId="2" fillId="27" borderId="0" pivotButton="0" quotePrefix="0" xfId="39"/>
    <xf numFmtId="0" fontId="2" fillId="0" borderId="13" applyAlignment="1" pivotButton="0" quotePrefix="0" xfId="39">
      <alignment horizontal="left" vertical="top"/>
    </xf>
    <xf numFmtId="0" fontId="2" fillId="0" borderId="19" applyAlignment="1" pivotButton="0" quotePrefix="0" xfId="39">
      <alignment horizontal="left" vertical="top"/>
    </xf>
    <xf numFmtId="0" fontId="2" fillId="0" borderId="19" pivotButton="0" quotePrefix="0" xfId="39"/>
    <xf numFmtId="0" fontId="2" fillId="0" borderId="20" pivotButton="0" quotePrefix="0" xfId="39"/>
    <xf numFmtId="0" fontId="3" fillId="0" borderId="17" applyAlignment="1" pivotButton="0" quotePrefix="0" xfId="39">
      <alignment horizontal="center"/>
    </xf>
    <xf numFmtId="0" fontId="3" fillId="0" borderId="19" applyAlignment="1" pivotButton="0" quotePrefix="0" xfId="39">
      <alignment horizontal="center" vertical="top"/>
    </xf>
    <xf numFmtId="0" fontId="50" fillId="0" borderId="11" applyAlignment="1" pivotButton="0" quotePrefix="0" xfId="39">
      <alignment horizontal="left" vertical="top" wrapText="1"/>
    </xf>
    <xf numFmtId="0" fontId="50" fillId="0" borderId="15" applyAlignment="1" pivotButton="0" quotePrefix="0" xfId="39">
      <alignment horizontal="left" vertical="top" wrapText="1"/>
    </xf>
    <xf numFmtId="0" fontId="50" fillId="0" borderId="16" applyAlignment="1" pivotButton="0" quotePrefix="0" xfId="39">
      <alignment horizontal="left" vertical="top" wrapText="1"/>
    </xf>
    <xf numFmtId="0" fontId="2" fillId="0" borderId="11" pivotButton="0" quotePrefix="0" xfId="39"/>
    <xf numFmtId="0" fontId="2" fillId="0" borderId="16" pivotButton="0" quotePrefix="0" xfId="39"/>
    <xf numFmtId="0" fontId="50" fillId="0" borderId="11" pivotButton="0" quotePrefix="0" xfId="39"/>
    <xf numFmtId="0" fontId="50" fillId="0" borderId="15" pivotButton="0" quotePrefix="0" xfId="39"/>
    <xf numFmtId="0" fontId="50" fillId="0" borderId="16" pivotButton="0" quotePrefix="0" xfId="39"/>
    <xf numFmtId="0" fontId="50" fillId="0" borderId="11" applyAlignment="1" pivotButton="0" quotePrefix="0" xfId="39">
      <alignment horizontal="left" wrapText="1"/>
    </xf>
    <xf numFmtId="0" fontId="50" fillId="0" borderId="15" applyAlignment="1" pivotButton="0" quotePrefix="0" xfId="39">
      <alignment horizontal="left" wrapText="1"/>
    </xf>
    <xf numFmtId="0" fontId="50" fillId="0" borderId="16" applyAlignment="1" pivotButton="0" quotePrefix="0" xfId="39">
      <alignment horizontal="left" wrapText="1"/>
    </xf>
    <xf numFmtId="0" fontId="50" fillId="0" borderId="11" applyAlignment="1" pivotButton="0" quotePrefix="0" xfId="39">
      <alignment vertical="top" wrapText="1"/>
    </xf>
    <xf numFmtId="0" fontId="50" fillId="0" borderId="15" applyAlignment="1" pivotButton="0" quotePrefix="0" xfId="39">
      <alignment vertical="top" wrapText="1"/>
    </xf>
    <xf numFmtId="0" fontId="50" fillId="0" borderId="16" applyAlignment="1" pivotButton="0" quotePrefix="0" xfId="39">
      <alignment vertical="top" wrapText="1"/>
    </xf>
    <xf numFmtId="0" fontId="2" fillId="27" borderId="11" pivotButton="0" quotePrefix="0" xfId="39"/>
    <xf numFmtId="0" fontId="2" fillId="27" borderId="16" pivotButton="0" quotePrefix="0" xfId="39"/>
    <xf numFmtId="0" fontId="50" fillId="0" borderId="10" applyAlignment="1" pivotButton="0" quotePrefix="0" xfId="39">
      <alignment vertical="top" wrapText="1"/>
    </xf>
    <xf numFmtId="0" fontId="50" fillId="0" borderId="12" applyAlignment="1" pivotButton="0" quotePrefix="0" xfId="39">
      <alignment horizontal="left"/>
    </xf>
    <xf numFmtId="0" fontId="50" fillId="0" borderId="17" applyAlignment="1" pivotButton="0" quotePrefix="0" xfId="39">
      <alignment horizontal="left"/>
    </xf>
    <xf numFmtId="0" fontId="50" fillId="0" borderId="18" applyAlignment="1" pivotButton="0" quotePrefix="0" xfId="39">
      <alignment horizontal="left"/>
    </xf>
    <xf numFmtId="0" fontId="2" fillId="0" borderId="12" applyAlignment="1" pivotButton="0" quotePrefix="0" xfId="39">
      <alignment textRotation="90"/>
    </xf>
    <xf numFmtId="0" fontId="2" fillId="0" borderId="18" applyAlignment="1" pivotButton="0" quotePrefix="0" xfId="39">
      <alignment textRotation="90"/>
    </xf>
    <xf numFmtId="0" fontId="2" fillId="0" borderId="14" applyAlignment="1" pivotButton="0" quotePrefix="0" xfId="39">
      <alignment textRotation="90"/>
    </xf>
    <xf numFmtId="0" fontId="2" fillId="0" borderId="21" applyAlignment="1" pivotButton="0" quotePrefix="0" xfId="39">
      <alignment textRotation="90"/>
    </xf>
    <xf numFmtId="0" fontId="2" fillId="0" borderId="13" applyAlignment="1" pivotButton="0" quotePrefix="0" xfId="39">
      <alignment textRotation="90"/>
    </xf>
    <xf numFmtId="0" fontId="2" fillId="0" borderId="20" applyAlignment="1" pivotButton="0" quotePrefix="0" xfId="39">
      <alignment textRotation="90"/>
    </xf>
    <xf numFmtId="0" fontId="50" fillId="0" borderId="12" applyAlignment="1" pivotButton="0" quotePrefix="0" xfId="39">
      <alignment vertical="center" wrapText="1"/>
    </xf>
    <xf numFmtId="0" fontId="50" fillId="0" borderId="17" applyAlignment="1" pivotButton="0" quotePrefix="0" xfId="39">
      <alignment vertical="center" wrapText="1"/>
    </xf>
    <xf numFmtId="0" fontId="18" fillId="0" borderId="18" applyAlignment="1" pivotButton="0" quotePrefix="0" xfId="39">
      <alignment vertical="center" wrapText="1"/>
    </xf>
    <xf numFmtId="0" fontId="2" fillId="27" borderId="12" pivotButton="0" quotePrefix="0" xfId="39"/>
    <xf numFmtId="0" fontId="2" fillId="27" borderId="18" pivotButton="0" quotePrefix="0" xfId="39"/>
    <xf numFmtId="0" fontId="50" fillId="0" borderId="11" applyAlignment="1" pivotButton="0" quotePrefix="0" xfId="39">
      <alignment vertical="center" wrapText="1"/>
    </xf>
    <xf numFmtId="0" fontId="50" fillId="0" borderId="15" applyAlignment="1" pivotButton="0" quotePrefix="0" xfId="39">
      <alignment vertical="center" wrapText="1"/>
    </xf>
    <xf numFmtId="0" fontId="18" fillId="0" borderId="16" applyAlignment="1" pivotButton="0" quotePrefix="0" xfId="39">
      <alignment vertical="center" wrapText="1"/>
    </xf>
    <xf numFmtId="0" fontId="13" fillId="28" borderId="43" applyAlignment="1" pivotButton="0" quotePrefix="0" xfId="39">
      <alignment horizontal="center"/>
    </xf>
    <xf numFmtId="0" fontId="13" fillId="28" borderId="45" applyAlignment="1" pivotButton="0" quotePrefix="0" xfId="39">
      <alignment horizontal="center"/>
    </xf>
    <xf numFmtId="0" fontId="18" fillId="0" borderId="48" applyAlignment="1" pivotButton="0" quotePrefix="0" xfId="39">
      <alignment horizontal="center"/>
    </xf>
    <xf numFmtId="0" fontId="18" fillId="0" borderId="0" applyAlignment="1" pivotButton="0" quotePrefix="0" xfId="39">
      <alignment horizontal="center"/>
    </xf>
    <xf numFmtId="0" fontId="46" fillId="25" borderId="12" applyAlignment="1" pivotButton="0" quotePrefix="0" xfId="39">
      <alignment horizontal="center" vertical="center" textRotation="255" wrapText="1"/>
    </xf>
    <xf numFmtId="0" fontId="46" fillId="0" borderId="17" applyAlignment="1" pivotButton="0" quotePrefix="0" xfId="39">
      <alignment horizontal="center" vertical="center" textRotation="255" wrapText="1"/>
    </xf>
    <xf numFmtId="0" fontId="46" fillId="0" borderId="13" applyAlignment="1" pivotButton="0" quotePrefix="0" xfId="39">
      <alignment horizontal="center" vertical="center" textRotation="255" wrapText="1"/>
    </xf>
    <xf numFmtId="0" fontId="46" fillId="0" borderId="19" applyAlignment="1" pivotButton="0" quotePrefix="0" xfId="39">
      <alignment horizontal="center" vertical="center" textRotation="255" wrapText="1"/>
    </xf>
    <xf numFmtId="0" fontId="51" fillId="25" borderId="11" applyAlignment="1" pivotButton="0" quotePrefix="0" xfId="39">
      <alignment horizontal="center" vertical="center" wrapText="1"/>
    </xf>
    <xf numFmtId="0" fontId="51" fillId="0" borderId="15" applyAlignment="1" pivotButton="0" quotePrefix="0" xfId="39">
      <alignment horizontal="center" vertical="center" wrapText="1"/>
    </xf>
    <xf numFmtId="0" fontId="52" fillId="0" borderId="16" applyAlignment="1" pivotButton="0" quotePrefix="0" xfId="39">
      <alignment horizontal="center" wrapText="1"/>
    </xf>
    <xf numFmtId="0" fontId="53" fillId="25" borderId="11" applyAlignment="1" pivotButton="0" quotePrefix="0" xfId="39">
      <alignment horizontal="center" vertical="center" wrapText="1"/>
    </xf>
    <xf numFmtId="0" fontId="53" fillId="25" borderId="15" applyAlignment="1" pivotButton="0" quotePrefix="0" xfId="39">
      <alignment horizontal="center" vertical="center" wrapText="1"/>
    </xf>
    <xf numFmtId="0" fontId="2" fillId="0" borderId="15" applyAlignment="1" pivotButton="0" quotePrefix="0" xfId="39">
      <alignment horizontal="center" vertical="center" wrapText="1"/>
    </xf>
    <xf numFmtId="0" fontId="2" fillId="25" borderId="11" applyAlignment="1" pivotButton="0" quotePrefix="0" xfId="39">
      <alignment horizontal="center" vertical="center" wrapText="1"/>
    </xf>
    <xf numFmtId="0" fontId="2" fillId="0" borderId="15" applyAlignment="1" pivotButton="0" quotePrefix="0" xfId="39">
      <alignment wrapText="1"/>
    </xf>
    <xf numFmtId="0" fontId="3" fillId="25" borderId="11" applyAlignment="1" pivotButton="0" quotePrefix="0" xfId="39">
      <alignment horizontal="center" vertical="top" wrapText="1"/>
    </xf>
    <xf numFmtId="0" fontId="2" fillId="25" borderId="12" applyAlignment="1" pivotButton="0" quotePrefix="0" xfId="39">
      <alignment horizontal="center" vertical="top" wrapText="1"/>
    </xf>
    <xf numFmtId="0" fontId="2" fillId="0" borderId="17" applyAlignment="1" pivotButton="0" quotePrefix="0" xfId="39">
      <alignment wrapText="1"/>
    </xf>
    <xf numFmtId="0" fontId="2" fillId="0" borderId="18" applyAlignment="1" pivotButton="0" quotePrefix="0" xfId="39">
      <alignment wrapText="1"/>
    </xf>
    <xf numFmtId="0" fontId="2" fillId="0" borderId="13" applyAlignment="1" pivotButton="0" quotePrefix="0" xfId="39">
      <alignment wrapText="1"/>
    </xf>
    <xf numFmtId="0" fontId="2" fillId="0" borderId="19" applyAlignment="1" pivotButton="0" quotePrefix="0" xfId="39">
      <alignment wrapText="1"/>
    </xf>
    <xf numFmtId="0" fontId="2" fillId="0" borderId="20" applyAlignment="1" pivotButton="0" quotePrefix="0" xfId="39">
      <alignment wrapText="1"/>
    </xf>
    <xf numFmtId="0" fontId="2" fillId="25" borderId="11" applyAlignment="1" pivotButton="0" quotePrefix="0" xfId="39">
      <alignment vertical="center" wrapText="1"/>
    </xf>
    <xf numFmtId="0" fontId="2" fillId="25" borderId="16" applyAlignment="1" pivotButton="0" quotePrefix="0" xfId="39">
      <alignment vertical="center" wrapText="1"/>
    </xf>
    <xf numFmtId="0" fontId="2" fillId="0" borderId="15" applyAlignment="1" pivotButton="0" quotePrefix="0" xfId="39">
      <alignment vertical="center" wrapText="1"/>
    </xf>
    <xf numFmtId="0" fontId="2" fillId="0" borderId="16" applyAlignment="1" pivotButton="0" quotePrefix="0" xfId="39">
      <alignment vertical="center" wrapText="1"/>
    </xf>
    <xf numFmtId="0" fontId="2" fillId="25" borderId="11" applyAlignment="1" pivotButton="0" quotePrefix="0" xfId="39">
      <alignment vertical="top" wrapText="1"/>
    </xf>
    <xf numFmtId="0" fontId="2" fillId="0" borderId="15" applyAlignment="1" pivotButton="0" quotePrefix="0" xfId="39">
      <alignment vertical="top" wrapText="1"/>
    </xf>
    <xf numFmtId="0" fontId="2" fillId="0" borderId="16" applyAlignment="1" pivotButton="0" quotePrefix="0" xfId="39">
      <alignment vertical="top" wrapText="1"/>
    </xf>
    <xf numFmtId="165" fontId="55" fillId="0" borderId="55" applyAlignment="1" pivotButton="0" quotePrefix="0" xfId="39">
      <alignment horizontal="left" vertical="center"/>
    </xf>
    <xf numFmtId="165" fontId="55" fillId="0" borderId="65" applyAlignment="1" pivotButton="0" quotePrefix="0" xfId="39">
      <alignment vertical="center"/>
    </xf>
    <xf numFmtId="0" fontId="63" fillId="0" borderId="66" applyAlignment="1" pivotButton="0" quotePrefix="0" xfId="39">
      <alignment horizontal="center" vertical="center" shrinkToFit="1"/>
    </xf>
    <xf numFmtId="0" fontId="63" fillId="0" borderId="67" applyAlignment="1" pivotButton="0" quotePrefix="0" xfId="39">
      <alignment horizontal="center" vertical="center" shrinkToFit="1"/>
    </xf>
    <xf numFmtId="0" fontId="55" fillId="28" borderId="43" applyAlignment="1" pivotButton="0" quotePrefix="0" xfId="39">
      <alignment horizontal="center"/>
    </xf>
    <xf numFmtId="0" fontId="55" fillId="28" borderId="45" applyAlignment="1" pivotButton="0" quotePrefix="0" xfId="39">
      <alignment horizontal="center"/>
    </xf>
    <xf numFmtId="0" fontId="2" fillId="0" borderId="48" applyAlignment="1" pivotButton="0" quotePrefix="0" xfId="39">
      <alignment horizontal="center"/>
    </xf>
    <xf numFmtId="0" fontId="2" fillId="0" borderId="0" applyAlignment="1" pivotButton="0" quotePrefix="0" xfId="39">
      <alignment horizontal="center"/>
    </xf>
    <xf numFmtId="165" fontId="55" fillId="0" borderId="58" applyAlignment="1" pivotButton="0" quotePrefix="0" xfId="39">
      <alignment vertical="center"/>
    </xf>
    <xf numFmtId="0" fontId="46" fillId="25" borderId="22" applyAlignment="1" pivotButton="0" quotePrefix="0" xfId="39">
      <alignment horizontal="center" vertical="center" textRotation="255" wrapText="1"/>
    </xf>
    <xf numFmtId="0" fontId="2" fillId="0" borderId="24" applyAlignment="1" pivotButton="0" quotePrefix="0" xfId="39">
      <alignment horizontal="center" vertical="center" textRotation="255" wrapText="1"/>
    </xf>
    <xf numFmtId="0" fontId="76" fillId="25" borderId="10" applyAlignment="1" pivotButton="0" quotePrefix="0" xfId="39">
      <alignment horizontal="center" vertical="center" wrapText="1"/>
    </xf>
    <xf numFmtId="0" fontId="77" fillId="25" borderId="10" applyAlignment="1" pivotButton="0" quotePrefix="0" xfId="39">
      <alignment horizontal="center" vertical="center" wrapText="1"/>
    </xf>
    <xf numFmtId="0" fontId="77" fillId="0" borderId="10" applyAlignment="1" pivotButton="0" quotePrefix="0" xfId="39">
      <alignment wrapText="1"/>
    </xf>
    <xf numFmtId="0" fontId="46" fillId="25" borderId="10" applyAlignment="1" pivotButton="0" quotePrefix="0" xfId="39">
      <alignment horizontal="center" vertical="center" wrapText="1"/>
    </xf>
    <xf numFmtId="0" fontId="78" fillId="0" borderId="0" applyAlignment="1" pivotButton="0" quotePrefix="0" xfId="39">
      <alignment horizontal="right" vertical="center" wrapText="1"/>
    </xf>
    <xf numFmtId="0" fontId="2" fillId="0" borderId="0" pivotButton="0" quotePrefix="0" xfId="39"/>
    <xf numFmtId="0" fontId="78" fillId="0" borderId="25" applyAlignment="1" pivotButton="0" quotePrefix="0" xfId="39">
      <alignment horizontal="center" vertical="center" wrapText="1"/>
    </xf>
    <xf numFmtId="0" fontId="2" fillId="0" borderId="0" applyAlignment="1" pivotButton="0" quotePrefix="0" xfId="39">
      <alignment horizontal="right" vertical="center" wrapText="1"/>
    </xf>
    <xf numFmtId="0" fontId="54" fillId="31" borderId="27" applyAlignment="1" pivotButton="0" quotePrefix="0" xfId="39">
      <alignment horizontal="center" vertical="center"/>
    </xf>
    <xf numFmtId="0" fontId="54" fillId="31" borderId="30" applyAlignment="1" pivotButton="0" quotePrefix="0" xfId="39">
      <alignment horizontal="center" vertical="center"/>
    </xf>
    <xf numFmtId="0" fontId="54" fillId="31" borderId="58" applyAlignment="1" pivotButton="0" quotePrefix="0" xfId="39">
      <alignment horizontal="center" vertical="center"/>
    </xf>
    <xf numFmtId="0" fontId="54" fillId="31" borderId="35" applyAlignment="1" pivotButton="0" quotePrefix="0" xfId="39">
      <alignment horizontal="center" vertical="center"/>
    </xf>
    <xf numFmtId="0" fontId="65" fillId="31" borderId="73" applyAlignment="1" pivotButton="0" quotePrefix="0" xfId="39">
      <alignment horizontal="center" vertical="center"/>
    </xf>
    <xf numFmtId="0" fontId="65" fillId="31" borderId="77" applyAlignment="1" pivotButton="0" quotePrefix="0" xfId="39">
      <alignment horizontal="center" vertical="center"/>
    </xf>
    <xf numFmtId="0" fontId="65" fillId="31" borderId="78" applyAlignment="1" pivotButton="0" quotePrefix="0" xfId="39">
      <alignment horizontal="center" vertical="center"/>
    </xf>
    <xf numFmtId="0" fontId="2" fillId="31" borderId="73" applyAlignment="1" pivotButton="0" quotePrefix="0" xfId="39">
      <alignment horizontal="center" vertical="center"/>
    </xf>
    <xf numFmtId="0" fontId="2" fillId="31" borderId="78" applyAlignment="1" pivotButton="0" quotePrefix="0" xfId="39">
      <alignment horizontal="center" vertical="center"/>
    </xf>
    <xf numFmtId="0" fontId="2" fillId="32" borderId="73" applyAlignment="1" pivotButton="0" quotePrefix="0" xfId="39">
      <alignment horizontal="center" vertical="center"/>
    </xf>
    <xf numFmtId="0" fontId="2" fillId="32" borderId="78" applyAlignment="1" pivotButton="0" quotePrefix="0" xfId="39">
      <alignment horizontal="center" vertical="center"/>
    </xf>
    <xf numFmtId="0" fontId="2" fillId="25" borderId="73" applyAlignment="1" pivotButton="0" quotePrefix="0" xfId="39">
      <alignment horizontal="center" vertical="center" wrapText="1"/>
    </xf>
    <xf numFmtId="0" fontId="2" fillId="25" borderId="77" applyAlignment="1" pivotButton="0" quotePrefix="0" xfId="39">
      <alignment horizontal="center" vertical="center" wrapText="1"/>
    </xf>
    <xf numFmtId="0" fontId="2" fillId="25" borderId="78" applyAlignment="1" pivotButton="0" quotePrefix="0" xfId="39">
      <alignment horizontal="center" vertical="center" wrapText="1"/>
    </xf>
    <xf numFmtId="0" fontId="18" fillId="25" borderId="73" applyAlignment="1" pivotButton="0" quotePrefix="0" xfId="39">
      <alignment horizontal="center" vertical="center" wrapText="1"/>
    </xf>
    <xf numFmtId="0" fontId="18" fillId="25" borderId="77" applyAlignment="1" pivotButton="0" quotePrefix="0" xfId="39">
      <alignment horizontal="center" vertical="center" wrapText="1"/>
    </xf>
    <xf numFmtId="0" fontId="18" fillId="25" borderId="78" applyAlignment="1" pivotButton="0" quotePrefix="0" xfId="39">
      <alignment horizontal="center" vertical="center" wrapText="1"/>
    </xf>
    <xf numFmtId="0" fontId="6" fillId="0" borderId="40" applyAlignment="1" pivotButton="0" quotePrefix="0" xfId="39">
      <alignment horizontal="center" vertical="center" wrapText="1"/>
    </xf>
    <xf numFmtId="0" fontId="6" fillId="0" borderId="79" applyAlignment="1" pivotButton="0" quotePrefix="0" xfId="39">
      <alignment horizontal="center" vertical="center" wrapText="1"/>
    </xf>
    <xf numFmtId="0" fontId="6" fillId="0" borderId="80" applyAlignment="1" pivotButton="0" quotePrefix="0" xfId="39">
      <alignment horizontal="center" vertical="center" wrapText="1"/>
    </xf>
    <xf numFmtId="0" fontId="3" fillId="0" borderId="40" applyAlignment="1" pivotButton="0" quotePrefix="0" xfId="39">
      <alignment horizontal="center" vertical="center" wrapText="1"/>
    </xf>
    <xf numFmtId="0" fontId="3" fillId="0" borderId="80" applyAlignment="1" pivotButton="0" quotePrefix="0" xfId="39">
      <alignment horizontal="center" vertical="center" wrapText="1"/>
    </xf>
    <xf numFmtId="0" fontId="3" fillId="0" borderId="79" applyAlignment="1" pivotButton="0" quotePrefix="0" xfId="39">
      <alignment horizontal="center" vertical="center" wrapText="1"/>
    </xf>
    <xf numFmtId="0" fontId="2" fillId="0" borderId="11" applyAlignment="1" pivotButton="0" quotePrefix="0" xfId="39">
      <alignment horizontal="center" vertical="center" wrapText="1"/>
    </xf>
    <xf numFmtId="0" fontId="2" fillId="0" borderId="16" applyAlignment="1" pivotButton="0" quotePrefix="0" xfId="39">
      <alignment horizontal="center" vertical="center" wrapText="1"/>
    </xf>
    <xf numFmtId="0" fontId="52" fillId="33" borderId="11" applyAlignment="1" pivotButton="0" quotePrefix="0" xfId="39">
      <alignment horizontal="center"/>
    </xf>
    <xf numFmtId="0" fontId="52" fillId="33" borderId="16" applyAlignment="1" pivotButton="0" quotePrefix="0" xfId="39">
      <alignment horizontal="center"/>
    </xf>
    <xf numFmtId="0" fontId="119" fillId="25" borderId="10" applyAlignment="1" pivotButton="0" quotePrefix="0" xfId="39">
      <alignment textRotation="255" wrapText="1"/>
    </xf>
    <xf numFmtId="0" fontId="6" fillId="25" borderId="10" applyAlignment="1" pivotButton="0" quotePrefix="0" xfId="39">
      <alignment horizontal="center" vertical="center" wrapText="1"/>
    </xf>
    <xf numFmtId="0" fontId="2" fillId="25" borderId="10" applyAlignment="1" pivotButton="0" quotePrefix="0" xfId="39">
      <alignment horizontal="center" vertical="center"/>
    </xf>
    <xf numFmtId="0" fontId="14" fillId="25" borderId="10" applyAlignment="1" pivotButton="0" quotePrefix="0" xfId="39">
      <alignment horizontal="center" vertical="center" wrapText="1"/>
    </xf>
    <xf numFmtId="0" fontId="51" fillId="33" borderId="10" applyAlignment="1" pivotButton="0" quotePrefix="0" xfId="39">
      <alignment horizontal="center" wrapText="1"/>
    </xf>
    <xf numFmtId="0" fontId="13" fillId="0" borderId="91" applyAlignment="1" pivotButton="0" quotePrefix="0" xfId="39">
      <alignment horizontal="center" vertical="center"/>
    </xf>
    <xf numFmtId="0" fontId="13" fillId="0" borderId="15" applyAlignment="1" pivotButton="0" quotePrefix="0" xfId="39">
      <alignment horizontal="center" vertical="center"/>
    </xf>
    <xf numFmtId="0" fontId="13" fillId="0" borderId="16" applyAlignment="1" pivotButton="0" quotePrefix="0" xfId="39">
      <alignment horizontal="center" vertical="center"/>
    </xf>
    <xf numFmtId="0" fontId="13" fillId="0" borderId="11" applyAlignment="1" pivotButton="0" quotePrefix="0" xfId="39">
      <alignment horizontal="center" vertical="center"/>
    </xf>
    <xf numFmtId="0" fontId="15" fillId="0" borderId="29" applyAlignment="1" pivotButton="0" quotePrefix="0" xfId="39">
      <alignment horizontal="center" vertical="center" wrapText="1"/>
    </xf>
    <xf numFmtId="0" fontId="2" fillId="0" borderId="32" applyAlignment="1" pivotButton="0" quotePrefix="0" xfId="39">
      <alignment horizontal="center" vertical="center" wrapText="1"/>
    </xf>
    <xf numFmtId="0" fontId="13" fillId="0" borderId="83" applyAlignment="1" pivotButton="0" quotePrefix="0" xfId="39">
      <alignment horizontal="center"/>
    </xf>
    <xf numFmtId="0" fontId="13" fillId="0" borderId="10" applyAlignment="1" pivotButton="0" quotePrefix="0" xfId="39">
      <alignment horizontal="center"/>
    </xf>
    <xf numFmtId="0" fontId="62" fillId="25" borderId="11" applyAlignment="1" pivotButton="0" quotePrefix="0" xfId="39">
      <alignment horizontal="center" vertical="center" wrapText="1"/>
    </xf>
    <xf numFmtId="0" fontId="48" fillId="25" borderId="15" applyAlignment="1" pivotButton="0" quotePrefix="0" xfId="39">
      <alignment horizontal="center" vertical="center" wrapText="1"/>
    </xf>
    <xf numFmtId="0" fontId="48" fillId="0" borderId="15" applyAlignment="1" pivotButton="0" quotePrefix="0" xfId="39">
      <alignment horizontal="center" vertical="center" wrapText="1"/>
    </xf>
    <xf numFmtId="0" fontId="48" fillId="0" borderId="16" applyAlignment="1" pivotButton="0" quotePrefix="0" xfId="39">
      <alignment horizontal="center" vertical="center" wrapText="1"/>
    </xf>
    <xf numFmtId="0" fontId="14" fillId="25" borderId="11" applyAlignment="1" pivotButton="0" quotePrefix="0" xfId="39">
      <alignment horizontal="center" vertical="center" wrapText="1"/>
    </xf>
    <xf numFmtId="0" fontId="2" fillId="25" borderId="15" applyAlignment="1" pivotButton="0" quotePrefix="0" xfId="39">
      <alignment horizontal="center" vertical="center" wrapText="1"/>
    </xf>
    <xf numFmtId="0" fontId="2" fillId="25" borderId="16" applyAlignment="1" pivotButton="0" quotePrefix="0" xfId="39">
      <alignment horizontal="center" vertical="center" wrapText="1"/>
    </xf>
    <xf numFmtId="0" fontId="2" fillId="0" borderId="16" applyAlignment="1" pivotButton="0" quotePrefix="0" xfId="39">
      <alignment wrapText="1"/>
    </xf>
    <xf numFmtId="0" fontId="14" fillId="25" borderId="22" applyAlignment="1" pivotButton="0" quotePrefix="0" xfId="39">
      <alignment horizontal="center" vertical="center" textRotation="255" wrapText="1"/>
    </xf>
    <xf numFmtId="0" fontId="64" fillId="25" borderId="17" applyAlignment="1" pivotButton="0" quotePrefix="0" xfId="39">
      <alignment horizontal="center" vertical="center" wrapText="1"/>
    </xf>
    <xf numFmtId="0" fontId="65" fillId="25" borderId="17" applyAlignment="1" pivotButton="0" quotePrefix="0" xfId="39">
      <alignment horizontal="center" vertical="center" wrapText="1"/>
    </xf>
    <xf numFmtId="0" fontId="2" fillId="25" borderId="11" applyAlignment="1" pivotButton="0" quotePrefix="0" xfId="39">
      <alignment horizontal="center" vertical="center" wrapText="1" shrinkToFit="1"/>
    </xf>
    <xf numFmtId="0" fontId="2" fillId="25" borderId="15" applyAlignment="1" pivotButton="0" quotePrefix="0" xfId="39">
      <alignment horizontal="center" vertical="center" wrapText="1" shrinkToFit="1"/>
    </xf>
    <xf numFmtId="0" fontId="2" fillId="0" borderId="16" applyAlignment="1" pivotButton="0" quotePrefix="0" xfId="39">
      <alignment horizontal="center" vertical="center" wrapText="1" shrinkToFit="1"/>
    </xf>
    <xf numFmtId="0" fontId="14" fillId="25" borderId="15" applyAlignment="1" pivotButton="0" quotePrefix="0" xfId="39">
      <alignment horizontal="center" vertical="center" wrapText="1"/>
    </xf>
    <xf numFmtId="0" fontId="45" fillId="25" borderId="11" applyAlignment="1" pivotButton="0" quotePrefix="0" xfId="39">
      <alignment horizontal="center" vertical="center"/>
    </xf>
    <xf numFmtId="0" fontId="45" fillId="25" borderId="15" applyAlignment="1" pivotButton="0" quotePrefix="0" xfId="39">
      <alignment horizontal="center" vertical="center"/>
    </xf>
    <xf numFmtId="0" fontId="45" fillId="25" borderId="16" applyAlignment="1" pivotButton="0" quotePrefix="0" xfId="39">
      <alignment horizontal="center" vertical="center"/>
    </xf>
    <xf numFmtId="0" fontId="66" fillId="0" borderId="12" applyAlignment="1" pivotButton="0" quotePrefix="0" xfId="39">
      <alignment horizontal="center" vertical="center" wrapText="1"/>
    </xf>
    <xf numFmtId="0" fontId="66" fillId="0" borderId="17" applyAlignment="1" pivotButton="0" quotePrefix="0" xfId="39">
      <alignment horizontal="center" vertical="center" wrapText="1"/>
    </xf>
    <xf numFmtId="0" fontId="66" fillId="0" borderId="18" applyAlignment="1" pivotButton="0" quotePrefix="0" xfId="39">
      <alignment horizontal="center" vertical="center" wrapText="1"/>
    </xf>
    <xf numFmtId="0" fontId="66" fillId="0" borderId="14" applyAlignment="1" pivotButton="0" quotePrefix="0" xfId="39">
      <alignment horizontal="center" vertical="center" wrapText="1"/>
    </xf>
    <xf numFmtId="0" fontId="66" fillId="0" borderId="0" applyAlignment="1" pivotButton="0" quotePrefix="0" xfId="39">
      <alignment horizontal="center" vertical="center" wrapText="1"/>
    </xf>
    <xf numFmtId="0" fontId="66" fillId="0" borderId="21" applyAlignment="1" pivotButton="0" quotePrefix="0" xfId="39">
      <alignment horizontal="center" vertical="center" wrapText="1"/>
    </xf>
    <xf numFmtId="0" fontId="66" fillId="0" borderId="13" applyAlignment="1" pivotButton="0" quotePrefix="0" xfId="39">
      <alignment horizontal="center" vertical="center" wrapText="1"/>
    </xf>
    <xf numFmtId="0" fontId="66" fillId="0" borderId="19" applyAlignment="1" pivotButton="0" quotePrefix="0" xfId="39">
      <alignment horizontal="center" vertical="center" wrapText="1"/>
    </xf>
    <xf numFmtId="0" fontId="66" fillId="0" borderId="20" applyAlignment="1" pivotButton="0" quotePrefix="0" xfId="39">
      <alignment horizontal="center" vertical="center" wrapText="1"/>
    </xf>
    <xf numFmtId="0" fontId="67" fillId="0" borderId="12" applyAlignment="1" pivotButton="0" quotePrefix="0" xfId="39">
      <alignment horizontal="center" vertical="center" wrapText="1"/>
    </xf>
    <xf numFmtId="0" fontId="67" fillId="0" borderId="17" applyAlignment="1" pivotButton="0" quotePrefix="0" xfId="39">
      <alignment horizontal="center" vertical="center" wrapText="1"/>
    </xf>
    <xf numFmtId="0" fontId="67" fillId="0" borderId="18" applyAlignment="1" pivotButton="0" quotePrefix="0" xfId="39">
      <alignment horizontal="center" vertical="center" wrapText="1"/>
    </xf>
    <xf numFmtId="0" fontId="67" fillId="0" borderId="13" applyAlignment="1" pivotButton="0" quotePrefix="0" xfId="39">
      <alignment horizontal="center" vertical="center" wrapText="1"/>
    </xf>
    <xf numFmtId="0" fontId="67" fillId="0" borderId="19" applyAlignment="1" pivotButton="0" quotePrefix="0" xfId="39">
      <alignment horizontal="center" vertical="center" wrapText="1"/>
    </xf>
    <xf numFmtId="0" fontId="67" fillId="0" borderId="20" applyAlignment="1" pivotButton="0" quotePrefix="0" xfId="39">
      <alignment horizontal="center" vertical="center" wrapText="1"/>
    </xf>
    <xf numFmtId="0" fontId="45" fillId="25" borderId="11" applyAlignment="1" pivotButton="0" quotePrefix="0" xfId="39">
      <alignment horizontal="center" vertical="center" wrapText="1"/>
    </xf>
    <xf numFmtId="0" fontId="45" fillId="25" borderId="15" applyAlignment="1" pivotButton="0" quotePrefix="0" xfId="39">
      <alignment horizontal="center" vertical="center" wrapText="1"/>
    </xf>
    <xf numFmtId="0" fontId="45" fillId="25" borderId="16" applyAlignment="1" pivotButton="0" quotePrefix="0" xfId="39">
      <alignment horizontal="center" vertical="center" wrapText="1"/>
    </xf>
    <xf numFmtId="0" fontId="2" fillId="25" borderId="11" applyAlignment="1" pivotButton="0" quotePrefix="0" xfId="39">
      <alignment horizontal="right" vertical="center" wrapText="1"/>
    </xf>
    <xf numFmtId="0" fontId="2" fillId="25" borderId="16" applyAlignment="1" pivotButton="0" quotePrefix="0" xfId="39">
      <alignment horizontal="right" vertical="center" wrapText="1"/>
    </xf>
    <xf numFmtId="0" fontId="64" fillId="0" borderId="11" applyAlignment="1" pivotButton="0" quotePrefix="0" xfId="39">
      <alignment horizontal="center" vertical="center"/>
    </xf>
    <xf numFmtId="0" fontId="65" fillId="0" borderId="15" applyAlignment="1" pivotButton="0" quotePrefix="0" xfId="39">
      <alignment vertical="center"/>
    </xf>
    <xf numFmtId="0" fontId="2" fillId="25" borderId="11" applyAlignment="1" pivotButton="0" quotePrefix="0" xfId="39">
      <alignment horizontal="right" vertical="center"/>
    </xf>
    <xf numFmtId="0" fontId="2" fillId="0" borderId="16" applyAlignment="1" pivotButton="0" quotePrefix="0" xfId="39">
      <alignment horizontal="right" vertical="center"/>
    </xf>
    <xf numFmtId="0" fontId="65" fillId="0" borderId="15" applyAlignment="1" pivotButton="0" quotePrefix="0" xfId="39">
      <alignment horizontal="center" vertical="center"/>
    </xf>
    <xf numFmtId="0" fontId="65" fillId="0" borderId="16" applyAlignment="1" pivotButton="0" quotePrefix="0" xfId="39">
      <alignment horizontal="center" vertical="center"/>
    </xf>
    <xf numFmtId="0" fontId="2" fillId="0" borderId="16" applyAlignment="1" pivotButton="0" quotePrefix="0" xfId="39">
      <alignment vertical="center"/>
    </xf>
    <xf numFmtId="0" fontId="62" fillId="0" borderId="11" applyAlignment="1" pivotButton="0" quotePrefix="0" xfId="39">
      <alignment horizontal="center" vertical="center"/>
    </xf>
    <xf numFmtId="0" fontId="48" fillId="0" borderId="15" applyAlignment="1" pivotButton="0" quotePrefix="0" xfId="39">
      <alignment horizontal="center" vertical="center"/>
    </xf>
    <xf numFmtId="0" fontId="48" fillId="0" borderId="16" applyAlignment="1" pivotButton="0" quotePrefix="0" xfId="39">
      <alignment horizontal="center" vertical="center"/>
    </xf>
    <xf numFmtId="0" fontId="69" fillId="0" borderId="12" applyAlignment="1" pivotButton="0" quotePrefix="0" xfId="39">
      <alignment horizontal="center" vertical="center" wrapText="1"/>
    </xf>
    <xf numFmtId="0" fontId="69" fillId="0" borderId="17" applyAlignment="1" pivotButton="0" quotePrefix="0" xfId="39">
      <alignment horizontal="center" vertical="center" wrapText="1"/>
    </xf>
    <xf numFmtId="0" fontId="69" fillId="0" borderId="18" applyAlignment="1" pivotButton="0" quotePrefix="0" xfId="39">
      <alignment horizontal="center" vertical="center" wrapText="1"/>
    </xf>
    <xf numFmtId="0" fontId="69" fillId="0" borderId="13" applyAlignment="1" pivotButton="0" quotePrefix="0" xfId="39">
      <alignment horizontal="center" vertical="center" wrapText="1"/>
    </xf>
    <xf numFmtId="0" fontId="69" fillId="0" borderId="19" applyAlignment="1" pivotButton="0" quotePrefix="0" xfId="39">
      <alignment horizontal="center" vertical="center" wrapText="1"/>
    </xf>
    <xf numFmtId="0" fontId="69" fillId="0" borderId="20" applyAlignment="1" pivotButton="0" quotePrefix="0" xfId="39">
      <alignment horizontal="center" vertical="center" wrapText="1"/>
    </xf>
    <xf numFmtId="0" fontId="67" fillId="0" borderId="14" applyAlignment="1" pivotButton="0" quotePrefix="0" xfId="39">
      <alignment horizontal="center" vertical="center" wrapText="1"/>
    </xf>
    <xf numFmtId="0" fontId="67" fillId="0" borderId="0" applyAlignment="1" pivotButton="0" quotePrefix="0" xfId="39">
      <alignment horizontal="center" vertical="center" wrapText="1"/>
    </xf>
    <xf numFmtId="0" fontId="67" fillId="0" borderId="21" applyAlignment="1" pivotButton="0" quotePrefix="0" xfId="39">
      <alignment horizontal="center" vertical="center" wrapText="1"/>
    </xf>
    <xf numFmtId="0" fontId="70" fillId="0" borderId="12" applyAlignment="1" pivotButton="0" quotePrefix="0" xfId="39">
      <alignment horizontal="center" vertical="center" wrapText="1"/>
    </xf>
    <xf numFmtId="0" fontId="70" fillId="0" borderId="17" applyAlignment="1" pivotButton="0" quotePrefix="0" xfId="39">
      <alignment horizontal="center" vertical="center" wrapText="1"/>
    </xf>
    <xf numFmtId="0" fontId="70" fillId="0" borderId="18" applyAlignment="1" pivotButton="0" quotePrefix="0" xfId="39">
      <alignment horizontal="center" vertical="center" wrapText="1"/>
    </xf>
    <xf numFmtId="0" fontId="70" fillId="0" borderId="14" applyAlignment="1" pivotButton="0" quotePrefix="0" xfId="39">
      <alignment horizontal="center" vertical="center" wrapText="1"/>
    </xf>
    <xf numFmtId="0" fontId="70" fillId="0" borderId="0" applyAlignment="1" pivotButton="0" quotePrefix="0" xfId="39">
      <alignment horizontal="center" vertical="center" wrapText="1"/>
    </xf>
    <xf numFmtId="0" fontId="70" fillId="0" borderId="21" applyAlignment="1" pivotButton="0" quotePrefix="0" xfId="39">
      <alignment horizontal="center" vertical="center" wrapText="1"/>
    </xf>
    <xf numFmtId="0" fontId="70" fillId="0" borderId="13" applyAlignment="1" pivotButton="0" quotePrefix="0" xfId="39">
      <alignment horizontal="center" vertical="center" wrapText="1"/>
    </xf>
    <xf numFmtId="0" fontId="70" fillId="0" borderId="19" applyAlignment="1" pivotButton="0" quotePrefix="0" xfId="39">
      <alignment horizontal="center" vertical="center" wrapText="1"/>
    </xf>
    <xf numFmtId="0" fontId="70" fillId="0" borderId="20" applyAlignment="1" pivotButton="0" quotePrefix="0" xfId="39">
      <alignment horizontal="center" vertical="center" wrapText="1"/>
    </xf>
    <xf numFmtId="0" fontId="74" fillId="0" borderId="12" applyAlignment="1" pivotButton="0" quotePrefix="0" xfId="39">
      <alignment horizontal="center" vertical="center"/>
    </xf>
    <xf numFmtId="0" fontId="74" fillId="0" borderId="18" applyAlignment="1" pivotButton="0" quotePrefix="0" xfId="39">
      <alignment horizontal="center" vertical="center"/>
    </xf>
    <xf numFmtId="0" fontId="74" fillId="0" borderId="13" applyAlignment="1" pivotButton="0" quotePrefix="0" xfId="39">
      <alignment horizontal="center" vertical="center"/>
    </xf>
    <xf numFmtId="0" fontId="74" fillId="0" borderId="20" applyAlignment="1" pivotButton="0" quotePrefix="0" xfId="39">
      <alignment horizontal="center" vertical="center"/>
    </xf>
    <xf numFmtId="0" fontId="74" fillId="0" borderId="17" applyAlignment="1" pivotButton="0" quotePrefix="0" xfId="39">
      <alignment horizontal="center" vertical="center"/>
    </xf>
    <xf numFmtId="0" fontId="74" fillId="0" borderId="19" applyAlignment="1" pivotButton="0" quotePrefix="0" xfId="39">
      <alignment horizontal="center" vertical="center"/>
    </xf>
    <xf numFmtId="0" fontId="74" fillId="0" borderId="74" applyAlignment="1" pivotButton="0" quotePrefix="0" xfId="39">
      <alignment horizontal="center" vertical="center"/>
    </xf>
    <xf numFmtId="0" fontId="74" fillId="0" borderId="21" applyAlignment="1" pivotButton="0" quotePrefix="0" xfId="39">
      <alignment horizontal="center" vertical="center"/>
    </xf>
    <xf numFmtId="0" fontId="74" fillId="0" borderId="75" applyAlignment="1" pivotButton="0" quotePrefix="0" xfId="39">
      <alignment horizontal="center" vertical="center"/>
    </xf>
    <xf numFmtId="0" fontId="74" fillId="0" borderId="14" applyAlignment="1" pivotButton="0" quotePrefix="0" xfId="39">
      <alignment horizontal="center" vertical="center"/>
    </xf>
    <xf numFmtId="0" fontId="74" fillId="25" borderId="76" applyAlignment="1" pivotButton="0" quotePrefix="0" xfId="39">
      <alignment horizontal="center" vertical="center"/>
    </xf>
    <xf numFmtId="0" fontId="74" fillId="25" borderId="18" applyAlignment="1" pivotButton="0" quotePrefix="0" xfId="39">
      <alignment horizontal="center" vertical="center"/>
    </xf>
    <xf numFmtId="0" fontId="74" fillId="25" borderId="75" applyAlignment="1" pivotButton="0" quotePrefix="0" xfId="39">
      <alignment horizontal="center" vertical="center"/>
    </xf>
    <xf numFmtId="0" fontId="74" fillId="25" borderId="20" applyAlignment="1" pivotButton="0" quotePrefix="0" xfId="39">
      <alignment horizontal="center" vertical="center"/>
    </xf>
    <xf numFmtId="0" fontId="75" fillId="25" borderId="12" applyAlignment="1" pivotButton="0" quotePrefix="0" xfId="39">
      <alignment horizontal="center" vertical="center"/>
    </xf>
    <xf numFmtId="0" fontId="75" fillId="25" borderId="18" applyAlignment="1" pivotButton="0" quotePrefix="0" xfId="39">
      <alignment horizontal="center" vertical="center"/>
    </xf>
    <xf numFmtId="0" fontId="75" fillId="25" borderId="13" applyAlignment="1" pivotButton="0" quotePrefix="0" xfId="39">
      <alignment horizontal="center" vertical="center"/>
    </xf>
    <xf numFmtId="0" fontId="75" fillId="25" borderId="20" applyAlignment="1" pivotButton="0" quotePrefix="0" xfId="39">
      <alignment horizontal="center" vertical="center"/>
    </xf>
    <xf numFmtId="0" fontId="74" fillId="25" borderId="12" applyAlignment="1" pivotButton="0" quotePrefix="0" xfId="39">
      <alignment horizontal="center" vertical="center"/>
    </xf>
    <xf numFmtId="0" fontId="74" fillId="25" borderId="13" applyAlignment="1" pivotButton="0" quotePrefix="0" xfId="39">
      <alignment horizontal="center" vertical="center"/>
    </xf>
    <xf numFmtId="0" fontId="74" fillId="0" borderId="76" applyAlignment="1" pivotButton="0" quotePrefix="0" xfId="39">
      <alignment horizontal="center" vertical="center"/>
    </xf>
    <xf numFmtId="0" fontId="84" fillId="26" borderId="11" applyAlignment="1" pivotButton="0" quotePrefix="0" xfId="39">
      <alignment horizontal="left" vertical="center" wrapText="1" indent="1"/>
    </xf>
    <xf numFmtId="0" fontId="84" fillId="26" borderId="16" applyAlignment="1" pivotButton="0" quotePrefix="0" xfId="39">
      <alignment horizontal="left" vertical="center" wrapText="1" indent="1"/>
    </xf>
    <xf numFmtId="0" fontId="14" fillId="25" borderId="24" applyAlignment="1" pivotButton="0" quotePrefix="0" xfId="39">
      <alignment horizontal="center" vertical="center" textRotation="255" wrapText="1"/>
    </xf>
    <xf numFmtId="0" fontId="6" fillId="25" borderId="11" applyAlignment="1" pivotButton="0" quotePrefix="0" xfId="39">
      <alignment horizontal="center" vertical="center" wrapText="1"/>
    </xf>
    <xf numFmtId="0" fontId="6" fillId="0" borderId="15" applyAlignment="1" pivotButton="0" quotePrefix="0" xfId="39">
      <alignment horizontal="center" vertical="center" wrapText="1"/>
    </xf>
    <xf numFmtId="0" fontId="6" fillId="0" borderId="16" applyAlignment="1" pivotButton="0" quotePrefix="0" xfId="39">
      <alignment horizontal="center" vertical="center" wrapText="1"/>
    </xf>
    <xf numFmtId="0" fontId="9" fillId="25" borderId="11" applyAlignment="1" pivotButton="0" quotePrefix="0" xfId="39">
      <alignment horizontal="center" vertical="top"/>
    </xf>
    <xf numFmtId="0" fontId="9" fillId="25" borderId="16" applyAlignment="1" pivotButton="0" quotePrefix="0" xfId="39">
      <alignment horizontal="center" vertical="top"/>
    </xf>
    <xf numFmtId="0" fontId="2" fillId="25" borderId="11" applyAlignment="1" pivotButton="0" quotePrefix="0" xfId="39">
      <alignment horizontal="center" vertical="top" wrapText="1"/>
    </xf>
    <xf numFmtId="0" fontId="2" fillId="25" borderId="16" applyAlignment="1" pivotButton="0" quotePrefix="0" xfId="39">
      <alignment horizontal="center" vertical="top"/>
    </xf>
    <xf numFmtId="0" fontId="3" fillId="25" borderId="16" applyAlignment="1" pivotButton="0" quotePrefix="0" xfId="39">
      <alignment horizontal="center" vertical="top" wrapText="1"/>
    </xf>
    <xf numFmtId="0" fontId="86" fillId="0" borderId="11" applyAlignment="1" pivotButton="0" quotePrefix="0" xfId="39">
      <alignment horizontal="left" vertical="center" wrapText="1" indent="1"/>
    </xf>
    <xf numFmtId="0" fontId="86" fillId="0" borderId="16" applyAlignment="1" pivotButton="0" quotePrefix="0" xfId="39">
      <alignment horizontal="left" vertical="center" wrapText="1" indent="1"/>
    </xf>
    <xf numFmtId="0" fontId="87" fillId="0" borderId="11" applyAlignment="1" pivotButton="0" quotePrefix="0" xfId="39">
      <alignment horizontal="left" vertical="center" wrapText="1" indent="1"/>
    </xf>
    <xf numFmtId="0" fontId="87" fillId="0" borderId="16" applyAlignment="1" pivotButton="0" quotePrefix="0" xfId="39">
      <alignment horizontal="left" vertical="center" wrapText="1" indent="1"/>
    </xf>
    <xf numFmtId="0" fontId="88" fillId="0" borderId="11" applyAlignment="1" pivotButton="0" quotePrefix="0" xfId="39">
      <alignment horizontal="center" vertical="center" wrapText="1" shrinkToFit="1"/>
    </xf>
    <xf numFmtId="0" fontId="88" fillId="0" borderId="16" applyAlignment="1" pivotButton="0" quotePrefix="0" xfId="39">
      <alignment horizontal="center" vertical="center" wrapText="1" shrinkToFit="1"/>
    </xf>
    <xf numFmtId="0" fontId="90" fillId="0" borderId="11" applyAlignment="1" pivotButton="0" quotePrefix="0" xfId="39">
      <alignment horizontal="left" vertical="center" wrapText="1" indent="1"/>
    </xf>
    <xf numFmtId="0" fontId="90" fillId="0" borderId="16" applyAlignment="1" pivotButton="0" quotePrefix="0" xfId="39">
      <alignment horizontal="left" vertical="center" wrapText="1" indent="1"/>
    </xf>
    <xf numFmtId="0" fontId="86" fillId="0" borderId="22" applyAlignment="1" pivotButton="0" quotePrefix="0" xfId="39">
      <alignment vertical="top" wrapText="1"/>
    </xf>
    <xf numFmtId="0" fontId="53" fillId="0" borderId="23" applyAlignment="1" pivotButton="0" quotePrefix="0" xfId="39">
      <alignment vertical="top" wrapText="1"/>
    </xf>
    <xf numFmtId="0" fontId="53" fillId="0" borderId="24" applyAlignment="1" pivotButton="0" quotePrefix="0" xfId="39">
      <alignment vertical="top" wrapText="1"/>
    </xf>
    <xf numFmtId="0" fontId="86" fillId="0" borderId="12" applyAlignment="1" pivotButton="0" quotePrefix="0" xfId="39">
      <alignment horizontal="left" vertical="center" wrapText="1" indent="1"/>
    </xf>
    <xf numFmtId="0" fontId="53" fillId="0" borderId="18" applyAlignment="1" pivotButton="0" quotePrefix="0" xfId="39">
      <alignment horizontal="left" vertical="center" wrapText="1" indent="1"/>
    </xf>
    <xf numFmtId="0" fontId="86" fillId="0" borderId="13" applyAlignment="1" pivotButton="0" quotePrefix="0" xfId="39">
      <alignment horizontal="left" vertical="center" wrapText="1" indent="1"/>
    </xf>
    <xf numFmtId="0" fontId="53" fillId="0" borderId="20" applyAlignment="1" pivotButton="0" quotePrefix="0" xfId="39">
      <alignment horizontal="left" vertical="center" wrapText="1" indent="1"/>
    </xf>
    <xf numFmtId="0" fontId="86" fillId="0" borderId="10" applyAlignment="1" pivotButton="0" quotePrefix="0" xfId="39">
      <alignment wrapText="1"/>
    </xf>
    <xf numFmtId="0" fontId="53" fillId="0" borderId="13" applyAlignment="1" pivotButton="0" quotePrefix="0" xfId="39">
      <alignment horizontal="left" vertical="center" wrapText="1" indent="1"/>
    </xf>
    <xf numFmtId="0" fontId="86" fillId="0" borderId="11" applyAlignment="1" pivotButton="0" quotePrefix="0" xfId="39">
      <alignment vertical="center" wrapText="1"/>
    </xf>
    <xf numFmtId="0" fontId="53" fillId="0" borderId="16" pivotButton="0" quotePrefix="0" xfId="39"/>
    <xf numFmtId="0" fontId="86" fillId="0" borderId="12" applyAlignment="1" pivotButton="0" quotePrefix="0" xfId="39">
      <alignment vertical="center" wrapText="1"/>
    </xf>
    <xf numFmtId="0" fontId="86" fillId="0" borderId="18" applyAlignment="1" pivotButton="0" quotePrefix="0" xfId="39">
      <alignment vertical="center" wrapText="1"/>
    </xf>
    <xf numFmtId="0" fontId="86" fillId="0" borderId="14" applyAlignment="1" pivotButton="0" quotePrefix="0" xfId="39">
      <alignment vertical="center" wrapText="1"/>
    </xf>
    <xf numFmtId="0" fontId="86" fillId="0" borderId="21" applyAlignment="1" pivotButton="0" quotePrefix="0" xfId="39">
      <alignment vertical="center" wrapText="1"/>
    </xf>
    <xf numFmtId="0" fontId="86" fillId="0" borderId="13" applyAlignment="1" pivotButton="0" quotePrefix="0" xfId="39">
      <alignment vertical="center" wrapText="1"/>
    </xf>
    <xf numFmtId="0" fontId="86" fillId="0" borderId="20" applyAlignment="1" pivotButton="0" quotePrefix="0" xfId="39">
      <alignment vertical="center" wrapText="1"/>
    </xf>
    <xf numFmtId="0" fontId="86" fillId="0" borderId="23" applyAlignment="1" pivotButton="0" quotePrefix="0" xfId="39">
      <alignment vertical="top" wrapText="1"/>
    </xf>
    <xf numFmtId="0" fontId="53" fillId="0" borderId="13" pivotButton="0" quotePrefix="0" xfId="39"/>
    <xf numFmtId="0" fontId="86" fillId="0" borderId="18" applyAlignment="1" pivotButton="0" quotePrefix="0" xfId="39">
      <alignment horizontal="left" vertical="center" wrapText="1" indent="1"/>
    </xf>
    <xf numFmtId="0" fontId="86" fillId="0" borderId="20" applyAlignment="1" pivotButton="0" quotePrefix="0" xfId="39">
      <alignment horizontal="left" vertical="center" wrapText="1" indent="1"/>
    </xf>
    <xf numFmtId="0" fontId="91" fillId="26" borderId="10" applyAlignment="1" pivotButton="0" quotePrefix="0" xfId="39">
      <alignment horizontal="center"/>
    </xf>
    <xf numFmtId="0" fontId="92" fillId="0" borderId="10" pivotButton="0" quotePrefix="0" xfId="39"/>
    <xf numFmtId="0" fontId="2" fillId="0" borderId="10" pivotButton="0" quotePrefix="0" xfId="39"/>
    <xf numFmtId="0" fontId="108" fillId="0" borderId="33" applyAlignment="1" pivotButton="0" quotePrefix="0" xfId="0">
      <alignment horizontal="left" vertical="top" wrapText="1"/>
    </xf>
    <xf numFmtId="0" fontId="108" fillId="0" borderId="0" applyAlignment="1" pivotButton="0" quotePrefix="0" xfId="0">
      <alignment horizontal="left" vertical="top" wrapText="1"/>
    </xf>
    <xf numFmtId="0" fontId="108" fillId="0" borderId="31" applyAlignment="1" pivotButton="0" quotePrefix="0" xfId="0">
      <alignment horizontal="left" vertical="top" wrapText="1"/>
    </xf>
    <xf numFmtId="169" fontId="0" fillId="0" borderId="0" pivotButton="0" quotePrefix="0" xfId="0"/>
    <xf numFmtId="0" fontId="129" fillId="0" borderId="0" pivotButton="0" quotePrefix="0" xfId="0"/>
    <xf numFmtId="170" fontId="0" fillId="0" borderId="0" pivotButton="0" quotePrefix="0" xfId="0"/>
    <xf numFmtId="0" fontId="130" fillId="0" borderId="0" pivotButton="0" quotePrefix="0" xfId="0"/>
    <xf numFmtId="0" fontId="131" fillId="0" borderId="0" pivotButton="0" quotePrefix="0" xfId="0"/>
    <xf numFmtId="171" fontId="0" fillId="0" borderId="0" pivotButton="0" quotePrefix="0" xfId="0"/>
    <xf numFmtId="172" fontId="0" fillId="0" borderId="0" pivotButton="0" quotePrefix="0" xfId="0"/>
    <xf numFmtId="0" fontId="63" fillId="29" borderId="10" applyAlignment="1" pivotButton="0" quotePrefix="0" xfId="0">
      <alignment horizontal="center" vertical="center" wrapText="1"/>
    </xf>
    <xf numFmtId="0" fontId="0" fillId="0" borderId="24" pivotButton="0" quotePrefix="0" xfId="0"/>
    <xf numFmtId="165" fontId="10" fillId="38" borderId="20" applyProtection="1" pivotButton="0" quotePrefix="0" xfId="0">
      <protection locked="0" hidden="0"/>
    </xf>
    <xf numFmtId="165" fontId="10" fillId="30" borderId="10" applyProtection="1" pivotButton="0" quotePrefix="0" xfId="0">
      <protection locked="0" hidden="0"/>
    </xf>
    <xf numFmtId="165" fontId="0" fillId="0" borderId="0" pivotButton="0" quotePrefix="0" xfId="0"/>
    <xf numFmtId="165" fontId="10" fillId="0" borderId="0" pivotButton="0" quotePrefix="0" xfId="0"/>
    <xf numFmtId="164" fontId="10" fillId="0" borderId="10" pivotButton="0" quotePrefix="0" xfId="0"/>
    <xf numFmtId="165" fontId="10" fillId="0" borderId="10" pivotButton="0" quotePrefix="0" xfId="0"/>
    <xf numFmtId="0" fontId="117" fillId="0" borderId="24" applyAlignment="1" pivotButton="0" quotePrefix="0" xfId="0">
      <alignment horizontal="left" vertical="top" wrapText="1"/>
    </xf>
    <xf numFmtId="0" fontId="0" fillId="0" borderId="14" pivotButton="0" quotePrefix="0" xfId="0"/>
    <xf numFmtId="0" fontId="15" fillId="25" borderId="10" applyAlignment="1" pivotButton="0" quotePrefix="0" xfId="39">
      <alignment horizontal="center" vertical="center"/>
    </xf>
    <xf numFmtId="0" fontId="0" fillId="0" borderId="15" pivotButton="0" quotePrefix="0" xfId="0"/>
    <xf numFmtId="0" fontId="0" fillId="0" borderId="16" pivotButton="0" quotePrefix="0" xfId="0"/>
    <xf numFmtId="0" fontId="14" fillId="25" borderId="10" applyAlignment="1" pivotButton="0" quotePrefix="0" xfId="39">
      <alignment horizontal="center" vertical="center"/>
    </xf>
    <xf numFmtId="0" fontId="0" fillId="0" borderId="18" pivotButton="0" quotePrefix="0" xfId="0"/>
    <xf numFmtId="0" fontId="2" fillId="0" borderId="10" applyAlignment="1" pivotButton="0" quotePrefix="0" xfId="39">
      <alignment horizontal="left"/>
    </xf>
    <xf numFmtId="0" fontId="13" fillId="0" borderId="39" applyAlignment="1" pivotButton="0" quotePrefix="0" xfId="39">
      <alignment horizontal="right"/>
    </xf>
    <xf numFmtId="0" fontId="0" fillId="0" borderId="39" pivotButton="0" quotePrefix="0" xfId="0"/>
    <xf numFmtId="0" fontId="2" fillId="0" borderId="111" pivotButton="0" quotePrefix="0" xfId="39"/>
    <xf numFmtId="0" fontId="0" fillId="0" borderId="41" pivotButton="0" quotePrefix="0" xfId="0"/>
    <xf numFmtId="0" fontId="2" fillId="0" borderId="24" applyAlignment="1" pivotButton="0" quotePrefix="0" xfId="39">
      <alignment horizontal="left" vertical="top"/>
    </xf>
    <xf numFmtId="0" fontId="2" fillId="0" borderId="22" pivotButton="0" quotePrefix="0" xfId="39"/>
    <xf numFmtId="0" fontId="50" fillId="0" borderId="10" applyAlignment="1" pivotButton="0" quotePrefix="0" xfId="39">
      <alignment horizontal="left" vertical="top" wrapText="1"/>
    </xf>
    <xf numFmtId="0" fontId="50" fillId="0" borderId="10" applyAlignment="1" pivotButton="0" quotePrefix="0" xfId="39">
      <alignment wrapText="1"/>
    </xf>
    <xf numFmtId="0" fontId="50" fillId="0" borderId="10" pivotButton="0" quotePrefix="0" xfId="39"/>
    <xf numFmtId="0" fontId="50" fillId="0" borderId="10" applyAlignment="1" pivotButton="0" quotePrefix="0" xfId="39">
      <alignment horizontal="left" wrapText="1"/>
    </xf>
    <xf numFmtId="0" fontId="2" fillId="27" borderId="10" pivotButton="0" quotePrefix="0" xfId="39"/>
    <xf numFmtId="0" fontId="50" fillId="0" borderId="22" applyAlignment="1" pivotButton="0" quotePrefix="0" xfId="39">
      <alignment horizontal="left"/>
    </xf>
    <xf numFmtId="0" fontId="2" fillId="0" borderId="10" applyAlignment="1" pivotButton="0" quotePrefix="0" xfId="39">
      <alignment textRotation="90"/>
    </xf>
    <xf numFmtId="0" fontId="50" fillId="0" borderId="22" applyAlignment="1" pivotButton="0" quotePrefix="0" xfId="39">
      <alignment vertical="center" wrapText="1"/>
    </xf>
    <xf numFmtId="0" fontId="2" fillId="27" borderId="22" pivotButton="0" quotePrefix="0" xfId="39"/>
    <xf numFmtId="0" fontId="50" fillId="0" borderId="10" applyAlignment="1" pivotButton="0" quotePrefix="0" xfId="39">
      <alignment vertical="center" wrapText="1"/>
    </xf>
    <xf numFmtId="0" fontId="46" fillId="25" borderId="11" applyAlignment="1" pivotButton="0" quotePrefix="0" xfId="39">
      <alignment horizontal="center" vertical="center" textRotation="255" wrapText="1"/>
    </xf>
    <xf numFmtId="0" fontId="51" fillId="25" borderId="10" applyAlignment="1" pivotButton="0" quotePrefix="0" xfId="39">
      <alignment horizontal="center" vertical="center" wrapText="1"/>
    </xf>
    <xf numFmtId="0" fontId="2" fillId="25" borderId="10" applyAlignment="1" pivotButton="0" quotePrefix="0" xfId="39">
      <alignment horizontal="center" vertical="top" wrapText="1"/>
    </xf>
    <xf numFmtId="0" fontId="2" fillId="25" borderId="10" applyAlignment="1" pivotButton="0" quotePrefix="0" xfId="39">
      <alignment vertical="center" wrapText="1"/>
    </xf>
    <xf numFmtId="0" fontId="2" fillId="25" borderId="10" applyAlignment="1" pivotButton="0" quotePrefix="0" xfId="39">
      <alignment vertical="top" wrapText="1"/>
    </xf>
    <xf numFmtId="0" fontId="0" fillId="0" borderId="43" pivotButton="0" quotePrefix="0" xfId="0"/>
    <xf numFmtId="0" fontId="0" fillId="0" borderId="45" pivotButton="0" quotePrefix="0" xfId="0"/>
    <xf numFmtId="165" fontId="6" fillId="0" borderId="27" applyAlignment="1" pivotButton="0" quotePrefix="0" xfId="39">
      <alignment horizontal="left" vertical="center"/>
    </xf>
    <xf numFmtId="166" fontId="53" fillId="0" borderId="50" applyAlignment="1" pivotButton="0" quotePrefix="0" xfId="39">
      <alignment horizontal="right" vertical="center" wrapText="1"/>
    </xf>
    <xf numFmtId="165" fontId="55" fillId="0" borderId="65" applyAlignment="1" pivotButton="0" quotePrefix="0" xfId="39">
      <alignment horizontal="left" vertical="center"/>
    </xf>
    <xf numFmtId="0" fontId="63" fillId="0" borderId="112" applyAlignment="1" pivotButton="0" quotePrefix="0" xfId="39">
      <alignment horizontal="center" vertical="center" shrinkToFit="1"/>
    </xf>
    <xf numFmtId="0" fontId="0" fillId="0" borderId="67" pivotButton="0" quotePrefix="0" xfId="0"/>
    <xf numFmtId="166" fontId="17" fillId="0" borderId="33" applyAlignment="1" pivotButton="0" quotePrefix="0" xfId="39">
      <alignment horizontal="center" vertical="center"/>
    </xf>
    <xf numFmtId="167" fontId="18" fillId="0" borderId="57" applyAlignment="1" pivotButton="0" quotePrefix="0" xfId="39">
      <alignment horizontal="center"/>
    </xf>
    <xf numFmtId="0" fontId="0" fillId="0" borderId="65" pivotButton="0" quotePrefix="0" xfId="0"/>
    <xf numFmtId="166" fontId="53" fillId="0" borderId="59" applyAlignment="1" pivotButton="0" quotePrefix="0" xfId="39">
      <alignment horizontal="right" vertical="center" wrapText="1"/>
    </xf>
    <xf numFmtId="165" fontId="6" fillId="0" borderId="64" applyAlignment="1" pivotButton="0" quotePrefix="0" xfId="39">
      <alignment horizontal="left" vertical="center"/>
    </xf>
    <xf numFmtId="165" fontId="18" fillId="0" borderId="68" applyAlignment="1" pivotButton="0" quotePrefix="0" xfId="39">
      <alignment horizontal="left" vertical="center"/>
    </xf>
    <xf numFmtId="0" fontId="46" fillId="25" borderId="10" applyAlignment="1" pivotButton="0" quotePrefix="0" xfId="39">
      <alignment horizontal="center" vertical="center" textRotation="255" wrapText="1"/>
    </xf>
    <xf numFmtId="0" fontId="0" fillId="0" borderId="25" pivotButton="0" quotePrefix="0" xfId="0"/>
    <xf numFmtId="0" fontId="54" fillId="31" borderId="28" applyAlignment="1" pivotButton="0" quotePrefix="0" xfId="39">
      <alignment horizontal="center" vertical="center"/>
    </xf>
    <xf numFmtId="0" fontId="0" fillId="0" borderId="30" pivotButton="0" quotePrefix="0" xfId="0"/>
    <xf numFmtId="0" fontId="65" fillId="31" borderId="28" applyAlignment="1" pivotButton="0" quotePrefix="0" xfId="39">
      <alignment horizontal="center" vertical="center"/>
    </xf>
    <xf numFmtId="0" fontId="0" fillId="0" borderId="77" pivotButton="0" quotePrefix="0" xfId="0"/>
    <xf numFmtId="0" fontId="0" fillId="0" borderId="78" pivotButton="0" quotePrefix="0" xfId="0"/>
    <xf numFmtId="0" fontId="2" fillId="31" borderId="28" applyAlignment="1" pivotButton="0" quotePrefix="0" xfId="39">
      <alignment horizontal="center" vertical="center"/>
    </xf>
    <xf numFmtId="0" fontId="2" fillId="32" borderId="28" applyAlignment="1" pivotButton="0" quotePrefix="0" xfId="39">
      <alignment horizontal="center" vertical="center"/>
    </xf>
    <xf numFmtId="0" fontId="0" fillId="0" borderId="58" pivotButton="0" quotePrefix="0" xfId="0"/>
    <xf numFmtId="0" fontId="0" fillId="0" borderId="35" pivotButton="0" quotePrefix="0" xfId="0"/>
    <xf numFmtId="0" fontId="2" fillId="25" borderId="28" applyAlignment="1" pivotButton="0" quotePrefix="0" xfId="39">
      <alignment horizontal="center" vertical="center" wrapText="1"/>
    </xf>
    <xf numFmtId="0" fontId="18" fillId="25" borderId="28" applyAlignment="1" pivotButton="0" quotePrefix="0" xfId="39">
      <alignment horizontal="center" vertical="center" wrapText="1"/>
    </xf>
    <xf numFmtId="0" fontId="6" fillId="0" borderId="115" applyAlignment="1" pivotButton="0" quotePrefix="0" xfId="39">
      <alignment horizontal="center" vertical="center" wrapText="1"/>
    </xf>
    <xf numFmtId="0" fontId="0" fillId="0" borderId="79" pivotButton="0" quotePrefix="0" xfId="0"/>
    <xf numFmtId="0" fontId="0" fillId="0" borderId="80" pivotButton="0" quotePrefix="0" xfId="0"/>
    <xf numFmtId="0" fontId="3" fillId="0" borderId="115" applyAlignment="1" pivotButton="0" quotePrefix="0" xfId="39">
      <alignment horizontal="center" vertical="center" wrapText="1"/>
    </xf>
    <xf numFmtId="0" fontId="62" fillId="25" borderId="10" applyAlignment="1" pivotButton="0" quotePrefix="0" xfId="39">
      <alignment horizontal="center" vertical="center" wrapText="1"/>
    </xf>
    <xf numFmtId="0" fontId="13" fillId="0" borderId="83" applyAlignment="1" pivotButton="0" quotePrefix="0" xfId="39">
      <alignment horizontal="center" vertical="center"/>
    </xf>
    <xf numFmtId="0" fontId="13" fillId="0" borderId="10" applyAlignment="1" pivotButton="0" quotePrefix="0" xfId="39">
      <alignment horizontal="center" vertical="center"/>
    </xf>
    <xf numFmtId="0" fontId="0" fillId="0" borderId="32" pivotButton="0" quotePrefix="0" xfId="0"/>
    <xf numFmtId="0" fontId="14" fillId="25" borderId="10" applyAlignment="1" pivotButton="0" quotePrefix="0" xfId="39">
      <alignment horizontal="center" vertical="center" textRotation="255" wrapText="1"/>
    </xf>
    <xf numFmtId="0" fontId="14" fillId="25" borderId="16" applyAlignment="1" pivotButton="0" quotePrefix="0" xfId="39">
      <alignment horizontal="center" vertical="center" wrapText="1"/>
    </xf>
    <xf numFmtId="0" fontId="2" fillId="25" borderId="10" applyAlignment="1" pivotButton="0" quotePrefix="0" xfId="39">
      <alignment horizontal="right" vertical="center" wrapText="1"/>
    </xf>
    <xf numFmtId="0" fontId="2" fillId="25" borderId="10" applyAlignment="1" pivotButton="0" quotePrefix="0" xfId="39">
      <alignment horizontal="right" vertical="center"/>
    </xf>
    <xf numFmtId="0" fontId="64" fillId="0" borderId="10" applyAlignment="1" pivotButton="0" quotePrefix="0" xfId="39">
      <alignment horizontal="center" vertical="center"/>
    </xf>
    <xf numFmtId="0" fontId="45" fillId="25" borderId="10" applyAlignment="1" pivotButton="0" quotePrefix="0" xfId="39">
      <alignment horizontal="center" vertical="center"/>
    </xf>
    <xf numFmtId="0" fontId="66" fillId="0" borderId="10" applyAlignment="1" pivotButton="0" quotePrefix="0" xfId="39">
      <alignment horizontal="center" vertical="center" wrapText="1"/>
    </xf>
    <xf numFmtId="0" fontId="67" fillId="0" borderId="10" applyAlignment="1" pivotButton="0" quotePrefix="0" xfId="39">
      <alignment horizontal="center" vertical="center" wrapText="1"/>
    </xf>
    <xf numFmtId="0" fontId="45" fillId="25" borderId="10" applyAlignment="1" pivotButton="0" quotePrefix="0" xfId="39">
      <alignment horizontal="center" vertical="center" wrapText="1"/>
    </xf>
    <xf numFmtId="0" fontId="69" fillId="0" borderId="10" applyAlignment="1" pivotButton="0" quotePrefix="0" xfId="39">
      <alignment horizontal="center" vertical="center" wrapText="1"/>
    </xf>
    <xf numFmtId="0" fontId="70" fillId="0" borderId="10" applyAlignment="1" pivotButton="0" quotePrefix="0" xfId="39">
      <alignment horizontal="center" vertical="center" wrapText="1"/>
    </xf>
    <xf numFmtId="0" fontId="67" fillId="0" borderId="22" applyAlignment="1" pivotButton="0" quotePrefix="0" xfId="39">
      <alignment horizontal="center" vertical="center" wrapText="1"/>
    </xf>
    <xf numFmtId="0" fontId="74" fillId="0" borderId="10" applyAlignment="1" pivotButton="0" quotePrefix="0" xfId="39">
      <alignment horizontal="center" vertical="center"/>
    </xf>
    <xf numFmtId="0" fontId="74" fillId="0" borderId="11" applyAlignment="1" pivotButton="0" quotePrefix="0" xfId="39">
      <alignment horizontal="center" vertical="center"/>
    </xf>
    <xf numFmtId="0" fontId="74" fillId="0" borderId="117" applyAlignment="1" pivotButton="0" quotePrefix="0" xfId="39">
      <alignment horizontal="center" vertical="center"/>
    </xf>
    <xf numFmtId="0" fontId="74" fillId="0" borderId="24" applyAlignment="1" pivotButton="0" quotePrefix="0" xfId="39">
      <alignment horizontal="center" vertical="center"/>
    </xf>
    <xf numFmtId="0" fontId="0" fillId="0" borderId="75" pivotButton="0" quotePrefix="0" xfId="0"/>
    <xf numFmtId="0" fontId="74" fillId="0" borderId="116" applyAlignment="1" pivotButton="0" quotePrefix="0" xfId="39">
      <alignment horizontal="center" vertical="center"/>
    </xf>
    <xf numFmtId="0" fontId="74" fillId="25" borderId="116" applyAlignment="1" pivotButton="0" quotePrefix="0" xfId="39">
      <alignment horizontal="center" vertical="center"/>
    </xf>
    <xf numFmtId="0" fontId="75" fillId="25" borderId="10" applyAlignment="1" pivotButton="0" quotePrefix="0" xfId="39">
      <alignment horizontal="center" vertical="center"/>
    </xf>
    <xf numFmtId="0" fontId="74" fillId="25" borderId="10" applyAlignment="1" pivotButton="0" quotePrefix="0" xfId="39">
      <alignment horizontal="center" vertical="center"/>
    </xf>
    <xf numFmtId="0" fontId="3" fillId="25" borderId="10" applyAlignment="1" pivotButton="0" quotePrefix="0" xfId="39">
      <alignment horizontal="center" vertical="top" wrapText="1"/>
    </xf>
    <xf numFmtId="0" fontId="84" fillId="26" borderId="10" applyAlignment="1" pivotButton="0" quotePrefix="0" xfId="39">
      <alignment horizontal="left" vertical="center" wrapText="1" indent="1"/>
    </xf>
    <xf numFmtId="0" fontId="87" fillId="0" borderId="10" applyAlignment="1" pivotButton="0" quotePrefix="0" xfId="39">
      <alignment horizontal="left" vertical="center" wrapText="1" indent="1"/>
    </xf>
    <xf numFmtId="0" fontId="88" fillId="0" borderId="10" applyAlignment="1" pivotButton="0" quotePrefix="0" xfId="39">
      <alignment horizontal="center" vertical="center" wrapText="1" shrinkToFit="1"/>
    </xf>
    <xf numFmtId="0" fontId="90" fillId="0" borderId="10" applyAlignment="1" pivotButton="0" quotePrefix="0" xfId="39">
      <alignment horizontal="left" vertical="center" wrapText="1" indent="1"/>
    </xf>
    <xf numFmtId="0" fontId="86" fillId="0" borderId="10" applyAlignment="1" pivotButton="0" quotePrefix="0" xfId="39">
      <alignment vertical="top" wrapText="1"/>
    </xf>
    <xf numFmtId="0" fontId="0" fillId="0" borderId="23" pivotButton="0" quotePrefix="0" xfId="0"/>
    <xf numFmtId="0" fontId="86" fillId="0" borderId="10" applyAlignment="1" pivotButton="0" quotePrefix="0" xfId="39">
      <alignment vertical="center" wrapText="1"/>
    </xf>
    <xf numFmtId="0" fontId="86" fillId="0" borderId="22" applyAlignment="1" pivotButton="0" quotePrefix="0" xfId="39">
      <alignment horizontal="left" vertical="center" wrapText="1" indent="1"/>
    </xf>
    <xf numFmtId="0" fontId="86" fillId="0" borderId="24" applyAlignment="1" pivotButton="0" quotePrefix="0" xfId="39">
      <alignment horizontal="left" vertical="center" wrapText="1" indent="1"/>
    </xf>
    <xf numFmtId="168" fontId="112" fillId="0" borderId="17" applyAlignment="1" pivotButton="0" quotePrefix="1" xfId="47">
      <alignment horizontal="left" vertical="center"/>
    </xf>
    <xf numFmtId="166" fontId="112" fillId="0" borderId="26" applyAlignment="1" pivotButton="0" quotePrefix="1" xfId="0">
      <alignment horizontal="right" vertical="center"/>
    </xf>
    <xf numFmtId="166" fontId="112" fillId="0" borderId="25" applyAlignment="1" pivotButton="0" quotePrefix="0" xfId="0">
      <alignment horizontal="right" vertical="center"/>
    </xf>
    <xf numFmtId="0" fontId="108" fillId="0" borderId="32" applyAlignment="1" pivotButton="0" quotePrefix="0" xfId="0">
      <alignment horizontal="left" vertical="top" wrapText="1"/>
    </xf>
    <xf numFmtId="0" fontId="0" fillId="0" borderId="31" pivotButton="0" quotePrefix="0" xfId="0"/>
    <xf numFmtId="0" fontId="0" fillId="0" borderId="33" pivotButton="0" quotePrefix="0" xfId="0"/>
  </cellXfs>
  <cellStyles count="49">
    <cellStyle name="Normal" xfId="0" builtinId="0"/>
    <cellStyle name="20% - Accent1" xfId="1" builtinId="30"/>
    <cellStyle name="20% - Accent2" xfId="2" builtinId="34"/>
    <cellStyle name="20% - Accent3" xfId="3" builtinId="38"/>
    <cellStyle name="20% - Accent4" xfId="4" builtinId="42"/>
    <cellStyle name="20% - Accent5" xfId="5" builtinId="46"/>
    <cellStyle name="20% - Accent6" xfId="6" builtinId="50"/>
    <cellStyle name="40% - Accent1" xfId="7" builtinId="31"/>
    <cellStyle name="40% - Accent2" xfId="8" builtinId="35"/>
    <cellStyle name="40% - Accent3" xfId="9" builtinId="39"/>
    <cellStyle name="40% - Accent4" xfId="10" builtinId="43"/>
    <cellStyle name="40% - Accent5" xfId="11" builtinId="47"/>
    <cellStyle name="40% - Accent6" xfId="12" builtinId="51"/>
    <cellStyle name="60% - Accent1" xfId="13" builtinId="32"/>
    <cellStyle name="60% - Accent2" xfId="14" builtinId="36"/>
    <cellStyle name="60% - Accent3" xfId="15" builtinId="40"/>
    <cellStyle name="60% - Accent4" xfId="16" builtinId="44"/>
    <cellStyle name="60% - Accent5" xfId="17" builtinId="48"/>
    <cellStyle name="60% - Accent6" xfId="18" builtinId="52"/>
    <cellStyle name="Accent1" xfId="19" builtinId="29"/>
    <cellStyle name="Accent2" xfId="20" builtinId="33"/>
    <cellStyle name="Accent3" xfId="21" builtinId="37"/>
    <cellStyle name="Accent4" xfId="22" builtinId="41"/>
    <cellStyle name="Accent5" xfId="23" builtinId="45"/>
    <cellStyle name="Accent6" xfId="24" builtinId="49"/>
    <cellStyle name="Bad" xfId="25" builtinId="27"/>
    <cellStyle name="Calculation" xfId="26" builtinId="22"/>
    <cellStyle name="Check Cell" xfId="27" builtinId="23"/>
    <cellStyle name="Comma 2" xfId="28"/>
    <cellStyle name="Explanatory Text" xfId="29" builtinId="53"/>
    <cellStyle name="Good" xfId="30" builtinId="26"/>
    <cellStyle name="Heading 1" xfId="31" builtinId="16"/>
    <cellStyle name="Heading 2" xfId="32" builtinId="17"/>
    <cellStyle name="Heading 3" xfId="33" builtinId="18"/>
    <cellStyle name="Heading 4" xfId="34" builtinId="19"/>
    <cellStyle name="Input" xfId="35" builtinId="20"/>
    <cellStyle name="Linked Cell" xfId="36" builtinId="24"/>
    <cellStyle name="Neutral" xfId="37" builtinId="28"/>
    <cellStyle name="Normal 2" xfId="38"/>
    <cellStyle name="Normal 3" xfId="39"/>
    <cellStyle name="Note" xfId="40" builtinId="10"/>
    <cellStyle name="Output" xfId="41" builtinId="21"/>
    <cellStyle name="Title" xfId="42" builtinId="15"/>
    <cellStyle name="Total" xfId="43" builtinId="25"/>
    <cellStyle name="Warning Text" xfId="44" builtinId="11"/>
    <cellStyle name="Normal 4" xfId="45"/>
    <cellStyle name="Percent" xfId="46" builtinId="5"/>
    <cellStyle name="Comma" xfId="47" builtinId="3"/>
    <cellStyle name="Hyperlink" xfId="48" builtinId="8"/>
  </cellStyles>
  <dxfs count="2">
    <dxf>
      <font>
        <strike val="1"/>
        <condense val="0"/>
        <extend val="0"/>
      </font>
    </dxf>
    <dxf>
      <font>
        <strike val="1"/>
        <condense val="0"/>
        <extend val="0"/>
      </font>
    </dxf>
  </dxf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worksheet" Target="/xl/worksheets/sheet4.xml" Id="rId4" /><Relationship Type="http://schemas.openxmlformats.org/officeDocument/2006/relationships/worksheet" Target="/xl/worksheets/sheet5.xml" Id="rId5" /><Relationship Type="http://schemas.openxmlformats.org/officeDocument/2006/relationships/worksheet" Target="/xl/worksheets/sheet6.xml" Id="rId6" /><Relationship Type="http://schemas.openxmlformats.org/officeDocument/2006/relationships/worksheet" Target="/xl/worksheets/sheet7.xml" Id="rId7" /><Relationship Type="http://schemas.openxmlformats.org/officeDocument/2006/relationships/worksheet" Target="/xl/worksheets/sheet8.xml" Id="rId8" /><Relationship Type="http://schemas.openxmlformats.org/officeDocument/2006/relationships/worksheet" Target="/xl/worksheets/sheet9.xml" Id="rId9" /><Relationship Type="http://schemas.openxmlformats.org/officeDocument/2006/relationships/worksheet" Target="/xl/worksheets/sheet10.xml" Id="rId10" /><Relationship Type="http://schemas.openxmlformats.org/officeDocument/2006/relationships/worksheet" Target="/xl/worksheets/sheet11.xml" Id="rId11" /><Relationship Type="http://schemas.openxmlformats.org/officeDocument/2006/relationships/worksheet" Target="/xl/worksheets/sheet12.xml" Id="rId12" /><Relationship Type="http://schemas.openxmlformats.org/officeDocument/2006/relationships/worksheet" Target="/xl/worksheets/sheet13.xml" Id="rId13" /><Relationship Type="http://schemas.openxmlformats.org/officeDocument/2006/relationships/worksheet" Target="/xl/worksheets/sheet14.xml" Id="rId14" /><Relationship Type="http://schemas.openxmlformats.org/officeDocument/2006/relationships/worksheet" Target="/xl/worksheets/sheet15.xml" Id="rId15" /><Relationship Type="http://schemas.openxmlformats.org/officeDocument/2006/relationships/worksheet" Target="/xl/worksheets/sheet16.xml" Id="rId16" /><Relationship Type="http://schemas.openxmlformats.org/officeDocument/2006/relationships/worksheet" Target="/xl/worksheets/sheet17.xml" Id="rId17" /><Relationship Type="http://schemas.openxmlformats.org/officeDocument/2006/relationships/worksheet" Target="/xl/worksheets/sheet18.xml" Id="rId18" /><Relationship Type="http://schemas.openxmlformats.org/officeDocument/2006/relationships/worksheet" Target="/xl/worksheets/sheet19.xml" Id="rId19" /><Relationship Type="http://schemas.openxmlformats.org/officeDocument/2006/relationships/worksheet" Target="/xl/worksheets/sheet20.xml" Id="rId20" /><Relationship Type="http://schemas.openxmlformats.org/officeDocument/2006/relationships/worksheet" Target="/xl/worksheets/sheet21.xml" Id="rId21" /><Relationship Type="http://schemas.openxmlformats.org/officeDocument/2006/relationships/worksheet" Target="/xl/worksheets/sheet22.xml" Id="rId22" /><Relationship Type="http://schemas.openxmlformats.org/officeDocument/2006/relationships/worksheet" Target="/xl/worksheets/sheet23.xml" Id="rId23" /><Relationship Type="http://schemas.openxmlformats.org/officeDocument/2006/relationships/worksheet" Target="/xl/worksheets/sheet24.xml" Id="rId24" /><Relationship Type="http://schemas.openxmlformats.org/officeDocument/2006/relationships/styles" Target="styles.xml" Id="rId25" /><Relationship Type="http://schemas.openxmlformats.org/officeDocument/2006/relationships/theme" Target="theme/theme1.xml" Id="rId26" /></Relationships>
</file>

<file path=xl/comments/comment1.xml><?xml version="1.0" encoding="utf-8"?>
<comments xmlns="http://schemas.openxmlformats.org/spreadsheetml/2006/main">
  <authors>
    <author>Jay Hermans</author>
  </authors>
  <commentList>
    <comment ref="F32" authorId="0" shapeId="0">
      <text>
        <t>Sum of all parts, compare to cell C14</t>
      </text>
    </comment>
    <comment ref="I132" authorId="0" shapeId="0">
      <text>
        <t>Max Aux-Blend Wt</t>
      </text>
    </comment>
  </commentList>
</comment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Relationships xmlns="http://schemas.openxmlformats.org/package/2006/relationships"><Relationship Type="http://schemas.openxmlformats.org/officeDocument/2006/relationships/comments" Target="/xl/comments/comment1.xml" Id="comments" /><Relationship Type="http://schemas.openxmlformats.org/officeDocument/2006/relationships/vmlDrawing" Target="/xl/drawings/commentsDrawing1.vml" Id="anysvml" /></Relationships>
</file>

<file path=xl/worksheets/_rels/sheet23.xml.rels><Relationships xmlns="http://schemas.openxmlformats.org/package/2006/relationships"><Relationship Type="http://schemas.openxmlformats.org/officeDocument/2006/relationships/hyperlink" Target="https://learn.microsoft.com/en-us/office/dev/add-ins/overview/explore-with-script-lab" TargetMode="External" Id="rId1" /><Relationship Type="http://schemas.openxmlformats.org/officeDocument/2006/relationships/hyperlink" Target="https://bettersolutions.com/excel/named-ranges/create-from-selection.htm" TargetMode="External" Id="rId2" /></Relationships>
</file>

<file path=xl/worksheets/sheet1.xml><?xml version="1.0" encoding="utf-8"?>
<worksheet xmlns="http://schemas.openxmlformats.org/spreadsheetml/2006/main">
  <sheetPr codeName="Sheet1">
    <outlinePr summaryBelow="1" summaryRight="1"/>
    <pageSetUpPr/>
  </sheetPr>
  <dimension ref="A1:O174"/>
  <sheetViews>
    <sheetView tabSelected="1" workbookViewId="0">
      <selection activeCell="A1" sqref="A1"/>
    </sheetView>
  </sheetViews>
  <sheetFormatPr baseColWidth="8" defaultRowHeight="12.5"/>
  <cols>
    <col width="18" customWidth="1" min="1" max="1"/>
    <col width="18" customWidth="1" min="2" max="2"/>
    <col width="18" customWidth="1" min="3" max="3"/>
    <col width="18" customWidth="1" min="4" max="4"/>
    <col width="18" customWidth="1" min="5" max="5"/>
    <col width="18" customWidth="1" min="6" max="6"/>
    <col width="18" customWidth="1" min="7" max="7"/>
    <col width="18" customWidth="1" min="8" max="8"/>
    <col width="18" customWidth="1" min="9" max="9"/>
    <col width="18" customWidth="1" min="10" max="10"/>
    <col width="18" customWidth="1" min="11" max="11"/>
    <col width="18" customWidth="1" min="12" max="12"/>
  </cols>
  <sheetData>
    <row r="1">
      <c r="A1" s="838">
        <f>today()</f>
        <v/>
      </c>
      <c r="C1" s="839" t="inlineStr">
        <is>
          <t>Job/Formula/Feeder/Parameter Export</t>
        </is>
      </c>
      <c r="G1" t="inlineStr">
        <is>
          <t>Page 1</t>
        </is>
      </c>
    </row>
    <row r="2">
      <c r="A2" s="840">
        <f>now()</f>
        <v/>
      </c>
      <c r="C2" s="841" t="inlineStr">
        <is>
          <t>Confidential Information</t>
        </is>
      </c>
    </row>
    <row r="3">
      <c r="A3" s="839" t="inlineStr">
        <is>
          <t>Job Info</t>
        </is>
      </c>
    </row>
    <row r="4">
      <c r="A4" s="842" t="inlineStr">
        <is>
          <t>Job</t>
        </is>
      </c>
      <c r="B4" t="inlineStr">
        <is>
          <t>23B020</t>
        </is>
      </c>
    </row>
    <row r="5">
      <c r="A5" s="842" t="inlineStr">
        <is>
          <t>Customer</t>
        </is>
      </c>
      <c r="B5" t="inlineStr">
        <is>
          <t>MYTEX</t>
        </is>
      </c>
    </row>
    <row r="6">
      <c r="A6" s="842" t="inlineStr">
        <is>
          <t>Product</t>
        </is>
      </c>
      <c r="B6" t="inlineStr">
        <is>
          <t>DYNAFLOW 8270 - MAMMOTH BLACK</t>
        </is>
      </c>
    </row>
    <row r="7">
      <c r="A7" s="842" t="inlineStr">
        <is>
          <t>Ver</t>
        </is>
      </c>
      <c r="B7" t="inlineStr">
        <is>
          <t>23B020</t>
        </is>
      </c>
    </row>
    <row r="8">
      <c r="A8" s="842" t="inlineStr">
        <is>
          <t>Status</t>
        </is>
      </c>
      <c r="B8" t="inlineStr">
        <is>
          <t>SCH</t>
        </is>
      </c>
    </row>
    <row r="9">
      <c r="A9" s="842" t="inlineStr">
        <is>
          <t>Job Start</t>
        </is>
      </c>
      <c r="B9" t="inlineStr"/>
    </row>
    <row r="10">
      <c r="A10" s="842" t="inlineStr">
        <is>
          <t>Job Complete</t>
        </is>
      </c>
      <c r="B10" t="inlineStr"/>
    </row>
    <row r="11">
      <c r="A11" s="842" t="inlineStr">
        <is>
          <t>Qty Ordered</t>
        </is>
      </c>
      <c r="B11" t="n">
        <v>48000</v>
      </c>
    </row>
    <row r="12">
      <c r="A12" s="842" t="inlineStr">
        <is>
          <t>Qty Produced</t>
        </is>
      </c>
      <c r="B12" t="n">
        <v>46655</v>
      </c>
    </row>
    <row r="13">
      <c r="A13" s="842" t="inlineStr">
        <is>
          <t>Line</t>
        </is>
      </c>
      <c r="B13" t="inlineStr">
        <is>
          <t>6</t>
        </is>
      </c>
    </row>
    <row r="14">
      <c r="A14" s="842" t="inlineStr">
        <is>
          <t>Lot</t>
        </is>
      </c>
      <c r="B14" t="inlineStr">
        <is>
          <t>23BMY020</t>
        </is>
      </c>
    </row>
    <row r="15">
      <c r="A15" s="842" t="inlineStr">
        <is>
          <t>Changeover Code</t>
        </is>
      </c>
      <c r="B15" t="inlineStr">
        <is>
          <t>0340</t>
        </is>
      </c>
    </row>
    <row r="50">
      <c r="A50" s="839" t="inlineStr">
        <is>
          <t>Formula Info for Job 23B020</t>
        </is>
      </c>
    </row>
    <row r="51">
      <c r="A51" s="842" t="inlineStr">
        <is>
          <t>Job</t>
        </is>
      </c>
      <c r="B51" t="inlineStr">
        <is>
          <t>23B020</t>
        </is>
      </c>
    </row>
    <row r="52">
      <c r="A52" s="842" t="inlineStr">
        <is>
          <t>Customer</t>
        </is>
      </c>
      <c r="B52" t="inlineStr">
        <is>
          <t>MYTEX</t>
        </is>
      </c>
    </row>
    <row r="53">
      <c r="A53" s="842" t="inlineStr">
        <is>
          <t>Product</t>
        </is>
      </c>
      <c r="B53" t="inlineStr">
        <is>
          <t>DYNAFLOW 8270 - MAMMOTH BLACK</t>
        </is>
      </c>
    </row>
    <row r="54">
      <c r="A54" s="842" t="inlineStr">
        <is>
          <t>Ver</t>
        </is>
      </c>
      <c r="B54" t="inlineStr">
        <is>
          <t>23B020</t>
        </is>
      </c>
    </row>
    <row r="55">
      <c r="A55" s="842" t="inlineStr">
        <is>
          <t>Deviated Rework %</t>
        </is>
      </c>
    </row>
    <row r="56">
      <c r="A56" s="842" t="inlineStr">
        <is>
          <t>Confirmed By</t>
        </is>
      </c>
      <c r="B56" t="inlineStr">
        <is>
          <t>mmay</t>
        </is>
      </c>
    </row>
    <row r="57">
      <c r="A57" s="842" t="inlineStr">
        <is>
          <t>Confirmed TS</t>
        </is>
      </c>
      <c r="B57" s="843" t="n">
        <v>44971.83191993883</v>
      </c>
    </row>
    <row r="58">
      <c r="A58" s="842" t="inlineStr">
        <is>
          <t>Locked By</t>
        </is>
      </c>
      <c r="B58" t="inlineStr">
        <is>
          <t>mmay</t>
        </is>
      </c>
    </row>
    <row r="59">
      <c r="A59" s="842" t="inlineStr">
        <is>
          <t>Locked TS</t>
        </is>
      </c>
      <c r="B59" s="843" t="n">
        <v>44971.83301146297</v>
      </c>
    </row>
    <row r="61">
      <c r="A61" s="842" t="inlineStr">
        <is>
          <t>Formula Ingredient Detail</t>
        </is>
      </c>
      <c r="I61" s="842" t="inlineStr">
        <is>
          <t>DevIDs</t>
        </is>
      </c>
      <c r="J61" s="842" t="inlineStr">
        <is>
          <t>Deviations</t>
        </is>
      </c>
    </row>
    <row r="62">
      <c r="A62" s="842" t="inlineStr">
        <is>
          <t>Item</t>
        </is>
      </c>
      <c r="B62" s="842" t="inlineStr">
        <is>
          <t>Customer</t>
        </is>
      </c>
      <c r="C62" s="842" t="inlineStr">
        <is>
          <t>Target</t>
        </is>
      </c>
      <c r="D62" s="842" t="inlineStr">
        <is>
          <t>Adjust</t>
        </is>
      </c>
      <c r="E62" s="842" t="inlineStr">
        <is>
          <t>Min</t>
        </is>
      </c>
      <c r="F62" s="842" t="inlineStr">
        <is>
          <t>Max</t>
        </is>
      </c>
      <c r="G62" s="842" t="inlineStr">
        <is>
          <t>Link ID</t>
        </is>
      </c>
      <c r="H62" s="842" t="inlineStr">
        <is>
          <t>Link Total</t>
        </is>
      </c>
      <c r="J62" s="842" t="inlineStr">
        <is>
          <t>Receiver</t>
        </is>
      </c>
      <c r="K62" s="842" t="inlineStr">
        <is>
          <t>Item</t>
        </is>
      </c>
      <c r="L62" s="842" t="inlineStr">
        <is>
          <t>Qty on Hand</t>
        </is>
      </c>
    </row>
    <row r="63">
      <c r="A63" t="inlineStr">
        <is>
          <t>PP7905E1</t>
        </is>
      </c>
      <c r="B63" t="inlineStr">
        <is>
          <t>MYTEX</t>
        </is>
      </c>
      <c r="C63" s="844" t="n">
        <v>35</v>
      </c>
      <c r="D63" t="inlineStr">
        <is>
          <t>VA</t>
        </is>
      </c>
      <c r="E63" s="844" t="n">
        <v>30</v>
      </c>
      <c r="F63" s="844" t="n">
        <v>40</v>
      </c>
      <c r="H63" s="844" t="n"/>
    </row>
    <row r="64">
      <c r="A64" t="inlineStr">
        <is>
          <t>PP7815E1</t>
        </is>
      </c>
      <c r="B64" t="inlineStr">
        <is>
          <t>MYTEX</t>
        </is>
      </c>
      <c r="C64" s="844" t="n">
        <v>10</v>
      </c>
      <c r="D64" t="inlineStr">
        <is>
          <t>VA</t>
        </is>
      </c>
      <c r="E64" s="844" t="n">
        <v>5</v>
      </c>
      <c r="F64" s="844" t="n">
        <v>15</v>
      </c>
      <c r="H64" s="844" t="n"/>
    </row>
    <row r="65">
      <c r="A65" t="inlineStr">
        <is>
          <t>6730J</t>
        </is>
      </c>
      <c r="B65" t="inlineStr">
        <is>
          <t>MYTEX</t>
        </is>
      </c>
      <c r="C65" s="844" t="n">
        <v>9.5</v>
      </c>
      <c r="D65" t="inlineStr">
        <is>
          <t>FI</t>
        </is>
      </c>
      <c r="E65" s="844" t="n"/>
      <c r="F65" s="844" t="n"/>
      <c r="H65" s="844" t="n"/>
    </row>
    <row r="66">
      <c r="A66" t="inlineStr">
        <is>
          <t>EXACT 5171</t>
        </is>
      </c>
      <c r="B66" t="inlineStr">
        <is>
          <t>MYTEX</t>
        </is>
      </c>
      <c r="C66" s="844" t="n">
        <v>16.5</v>
      </c>
      <c r="D66" t="inlineStr">
        <is>
          <t>FI</t>
        </is>
      </c>
      <c r="E66" s="844" t="n"/>
      <c r="F66" s="844" t="n"/>
      <c r="H66" s="844" t="n"/>
    </row>
    <row r="67">
      <c r="A67" t="inlineStr">
        <is>
          <t>LUCENE LC170</t>
        </is>
      </c>
      <c r="B67" t="inlineStr">
        <is>
          <t>MYTEX</t>
        </is>
      </c>
      <c r="C67" s="844" t="n">
        <v>0</v>
      </c>
      <c r="D67" t="inlineStr">
        <is>
          <t>FI</t>
        </is>
      </c>
      <c r="E67" s="844" t="n"/>
      <c r="F67" s="844" t="n"/>
      <c r="H67" s="844" t="n"/>
    </row>
    <row r="68">
      <c r="A68" t="inlineStr">
        <is>
          <t>ENGAGE 8107</t>
        </is>
      </c>
      <c r="B68" t="inlineStr">
        <is>
          <t>MYTEX</t>
        </is>
      </c>
      <c r="C68" s="844" t="n">
        <v>0</v>
      </c>
      <c r="D68" t="inlineStr">
        <is>
          <t>FI</t>
        </is>
      </c>
      <c r="E68" s="844" t="n"/>
      <c r="F68" s="844" t="n"/>
      <c r="H68" s="844" t="n"/>
    </row>
    <row r="69">
      <c r="A69" t="inlineStr">
        <is>
          <t>ENGAGE 8100</t>
        </is>
      </c>
      <c r="B69" t="inlineStr">
        <is>
          <t>MYTEX</t>
        </is>
      </c>
      <c r="C69" s="844" t="n">
        <v>0</v>
      </c>
      <c r="D69" t="inlineStr">
        <is>
          <t>FI</t>
        </is>
      </c>
      <c r="E69" s="844" t="n"/>
      <c r="F69" s="844" t="n"/>
      <c r="H69" s="844" t="n"/>
    </row>
    <row r="70">
      <c r="A70" t="inlineStr">
        <is>
          <t>HD6706.17</t>
        </is>
      </c>
      <c r="B70" t="inlineStr">
        <is>
          <t>MYTEX</t>
        </is>
      </c>
      <c r="C70" s="844" t="n">
        <v>3.5</v>
      </c>
      <c r="D70" t="inlineStr">
        <is>
          <t>FI</t>
        </is>
      </c>
      <c r="E70" s="844" t="n"/>
      <c r="F70" s="844" t="n"/>
      <c r="H70" s="844" t="n"/>
    </row>
    <row r="71">
      <c r="A71" t="inlineStr">
        <is>
          <t>BAPOLENE 3252</t>
        </is>
      </c>
      <c r="B71" t="inlineStr">
        <is>
          <t>MYTEX</t>
        </is>
      </c>
      <c r="C71" s="844" t="n">
        <v>0</v>
      </c>
      <c r="D71" t="inlineStr">
        <is>
          <t>FI</t>
        </is>
      </c>
      <c r="E71" s="844" t="n"/>
      <c r="F71" s="844" t="n"/>
      <c r="H71" s="844" t="n"/>
    </row>
    <row r="72">
      <c r="A72" t="inlineStr">
        <is>
          <t>HTP ULTRA 5C</t>
        </is>
      </c>
      <c r="B72" t="inlineStr">
        <is>
          <t>MYTEX</t>
        </is>
      </c>
      <c r="C72" s="844" t="n">
        <v>22</v>
      </c>
      <c r="D72" t="inlineStr">
        <is>
          <t>FI</t>
        </is>
      </c>
      <c r="E72" s="844" t="n"/>
      <c r="F72" s="844" t="n"/>
      <c r="H72" s="844" t="n"/>
    </row>
    <row r="73">
      <c r="A73" t="inlineStr">
        <is>
          <t>BT 2202 30LB BAG</t>
        </is>
      </c>
      <c r="B73" t="inlineStr">
        <is>
          <t>MYTEX</t>
        </is>
      </c>
      <c r="C73" s="844" t="n">
        <v>1</v>
      </c>
      <c r="D73" t="inlineStr">
        <is>
          <t>FI</t>
        </is>
      </c>
      <c r="E73" s="844" t="n"/>
      <c r="F73" s="844" t="n"/>
      <c r="H73" s="844" t="n"/>
    </row>
    <row r="74">
      <c r="A74" t="inlineStr">
        <is>
          <t>AO225</t>
        </is>
      </c>
      <c r="B74" t="inlineStr">
        <is>
          <t>MYTEX</t>
        </is>
      </c>
      <c r="C74" s="844" t="n">
        <v>0.15</v>
      </c>
      <c r="D74" t="inlineStr">
        <is>
          <t>FI</t>
        </is>
      </c>
      <c r="E74" s="844" t="n"/>
      <c r="F74" s="844" t="n"/>
      <c r="H74" s="844" t="n"/>
    </row>
    <row r="75">
      <c r="A75" t="inlineStr">
        <is>
          <t>ZN-ST</t>
        </is>
      </c>
      <c r="B75" t="inlineStr">
        <is>
          <t>MYTEX</t>
        </is>
      </c>
      <c r="C75" s="844" t="n">
        <v>0.15</v>
      </c>
      <c r="D75" t="inlineStr">
        <is>
          <t>FI</t>
        </is>
      </c>
      <c r="E75" s="844" t="n"/>
      <c r="F75" s="844" t="n"/>
      <c r="H75" s="844" t="n"/>
    </row>
    <row r="76">
      <c r="A76" t="inlineStr">
        <is>
          <t>BZ120</t>
        </is>
      </c>
      <c r="B76" t="inlineStr">
        <is>
          <t>MYTEX</t>
        </is>
      </c>
      <c r="C76" s="844" t="n">
        <v>0.15</v>
      </c>
      <c r="D76" t="inlineStr">
        <is>
          <t>FI</t>
        </is>
      </c>
      <c r="E76" s="844" t="n"/>
      <c r="F76" s="844" t="n"/>
      <c r="H76" s="844" t="n"/>
    </row>
    <row r="77">
      <c r="A77" t="inlineStr">
        <is>
          <t>HALS944</t>
        </is>
      </c>
      <c r="B77" t="inlineStr">
        <is>
          <t>MYTEX</t>
        </is>
      </c>
      <c r="C77" s="844" t="n">
        <v>0.2</v>
      </c>
      <c r="D77" t="inlineStr">
        <is>
          <t>FI</t>
        </is>
      </c>
      <c r="E77" s="844" t="n"/>
      <c r="F77" s="844" t="n"/>
      <c r="H77" s="844" t="n"/>
    </row>
    <row r="78">
      <c r="A78" t="inlineStr">
        <is>
          <t>AMIDE-E</t>
        </is>
      </c>
      <c r="B78" t="inlineStr">
        <is>
          <t>MYTEX</t>
        </is>
      </c>
      <c r="C78" s="844" t="n">
        <v>0.4</v>
      </c>
      <c r="D78" t="inlineStr">
        <is>
          <t>FI</t>
        </is>
      </c>
      <c r="E78" s="844" t="n"/>
      <c r="F78" s="844" t="n"/>
      <c r="H78" s="844" t="n"/>
    </row>
    <row r="79">
      <c r="A79" t="inlineStr">
        <is>
          <t>AMIDE-O</t>
        </is>
      </c>
      <c r="B79" t="inlineStr">
        <is>
          <t>MYTEX</t>
        </is>
      </c>
      <c r="C79" s="844" t="n">
        <v>0.1</v>
      </c>
      <c r="D79" t="inlineStr">
        <is>
          <t>FI</t>
        </is>
      </c>
      <c r="E79" s="844" t="n"/>
      <c r="F79" s="844" t="n"/>
      <c r="H79" s="844" t="n"/>
    </row>
    <row r="80">
      <c r="A80" t="inlineStr">
        <is>
          <t>TI02</t>
        </is>
      </c>
      <c r="B80" t="inlineStr">
        <is>
          <t>MYTEX</t>
        </is>
      </c>
      <c r="C80" s="844" t="n">
        <v>0.12</v>
      </c>
      <c r="D80" t="inlineStr">
        <is>
          <t>FI</t>
        </is>
      </c>
      <c r="E80" s="844" t="n"/>
      <c r="F80" s="844" t="n"/>
      <c r="H80" s="844" t="n"/>
    </row>
    <row r="81">
      <c r="A81" t="inlineStr">
        <is>
          <t>RAVEN 2000 BEADS</t>
        </is>
      </c>
      <c r="B81" t="inlineStr">
        <is>
          <t>MYTEX</t>
        </is>
      </c>
      <c r="C81" s="844" t="n">
        <v>0.8</v>
      </c>
      <c r="D81" t="inlineStr">
        <is>
          <t>FI</t>
        </is>
      </c>
      <c r="E81" s="844" t="n"/>
      <c r="F81" s="844" t="n"/>
      <c r="H81" s="844" t="n"/>
    </row>
    <row r="82">
      <c r="A82" t="inlineStr">
        <is>
          <t>TOMATEC 42-118A</t>
        </is>
      </c>
      <c r="B82" t="inlineStr">
        <is>
          <t>MYTEX</t>
        </is>
      </c>
      <c r="C82" s="844" t="n">
        <v>0</v>
      </c>
      <c r="D82" t="inlineStr">
        <is>
          <t>FI</t>
        </is>
      </c>
      <c r="E82" s="844" t="n"/>
      <c r="F82" s="844" t="n"/>
      <c r="H82" s="844" t="n"/>
    </row>
    <row r="83">
      <c r="A83" t="inlineStr">
        <is>
          <t>8300P PHTHALO BLUE 15:3</t>
        </is>
      </c>
      <c r="B83" t="inlineStr">
        <is>
          <t>MYTEX</t>
        </is>
      </c>
      <c r="C83" s="844" t="n">
        <v>0.24</v>
      </c>
      <c r="D83" t="inlineStr">
        <is>
          <t>FI</t>
        </is>
      </c>
      <c r="E83" s="844" t="n"/>
      <c r="F83" s="844" t="n"/>
      <c r="H83" s="844" t="n"/>
    </row>
    <row r="84">
      <c r="A84" t="inlineStr">
        <is>
          <t>BAYFERROX 180NM</t>
        </is>
      </c>
      <c r="B84" t="inlineStr">
        <is>
          <t>MYTEX</t>
        </is>
      </c>
      <c r="C84" s="844" t="n">
        <v>0</v>
      </c>
      <c r="D84" t="inlineStr">
        <is>
          <t>FI</t>
        </is>
      </c>
      <c r="E84" s="844" t="n"/>
      <c r="F84" s="844" t="n"/>
      <c r="H84" s="844" t="n"/>
    </row>
    <row r="85">
      <c r="A85" t="inlineStr">
        <is>
          <t>3777 PHTHALO GREEN 7</t>
        </is>
      </c>
      <c r="B85" t="inlineStr">
        <is>
          <t>MYTEX</t>
        </is>
      </c>
      <c r="C85" s="844" t="n">
        <v>0.19</v>
      </c>
      <c r="D85" t="inlineStr">
        <is>
          <t>FI</t>
        </is>
      </c>
      <c r="E85" s="844" t="n"/>
      <c r="F85" s="844" t="n"/>
      <c r="H85" s="844" t="n"/>
    </row>
    <row r="86">
      <c r="A86" t="inlineStr">
        <is>
          <t>MISC-BLEND</t>
        </is>
      </c>
      <c r="B86" t="inlineStr">
        <is>
          <t>MYTEX</t>
        </is>
      </c>
      <c r="C86" s="844" t="n">
        <v>0</v>
      </c>
      <c r="D86" t="inlineStr">
        <is>
          <t>FI</t>
        </is>
      </c>
      <c r="E86" s="844" t="n"/>
      <c r="F86" s="844" t="n"/>
      <c r="H86" s="844" t="n"/>
    </row>
    <row r="87">
      <c r="A87" t="inlineStr">
        <is>
          <t>DYNAFLOW 8270 - MAMMOTH BLACK</t>
        </is>
      </c>
      <c r="B87" t="inlineStr">
        <is>
          <t>MYTEX</t>
        </is>
      </c>
      <c r="C87" s="844" t="n">
        <v>0</v>
      </c>
      <c r="D87" t="inlineStr">
        <is>
          <t>FI</t>
        </is>
      </c>
      <c r="E87" s="844" t="n"/>
      <c r="F87" s="844" t="n"/>
      <c r="H87" s="844" t="n"/>
    </row>
    <row r="100">
      <c r="A100" s="839" t="inlineStr">
        <is>
          <t>Feeder Info for Job 23B020</t>
        </is>
      </c>
    </row>
    <row r="101">
      <c r="A101" s="842" t="inlineStr">
        <is>
          <t>Customer</t>
        </is>
      </c>
      <c r="B101" t="inlineStr">
        <is>
          <t>MYTEX</t>
        </is>
      </c>
      <c r="J101" s="842" t="inlineStr">
        <is>
          <t>Blender 1 Info</t>
        </is>
      </c>
      <c r="M101" s="842" t="inlineStr">
        <is>
          <t>Blender 2 Info</t>
        </is>
      </c>
    </row>
    <row r="102">
      <c r="A102" s="842" t="inlineStr">
        <is>
          <t>Product</t>
        </is>
      </c>
      <c r="B102" t="inlineStr">
        <is>
          <t>DYNAFLOW 8270 - MAMMOTH BLACK</t>
        </is>
      </c>
      <c r="J102" s="842" t="inlineStr">
        <is>
          <t>Blender</t>
        </is>
      </c>
      <c r="K102" t="inlineStr">
        <is>
          <t>CM1000</t>
        </is>
      </c>
      <c r="M102" s="842" t="inlineStr">
        <is>
          <t>Blender</t>
        </is>
      </c>
    </row>
    <row r="103">
      <c r="A103" s="842" t="inlineStr">
        <is>
          <t>Ver</t>
        </is>
      </c>
      <c r="B103" t="inlineStr">
        <is>
          <t>23B020</t>
        </is>
      </c>
      <c r="J103" s="842" t="inlineStr">
        <is>
          <t>Blend Size</t>
        </is>
      </c>
      <c r="K103" t="n">
        <v>800</v>
      </c>
      <c r="M103" s="842" t="inlineStr">
        <is>
          <t>Blend Size</t>
        </is>
      </c>
    </row>
    <row r="104">
      <c r="A104" s="842" t="inlineStr">
        <is>
          <t>Line</t>
        </is>
      </c>
      <c r="B104" t="inlineStr">
        <is>
          <t>6</t>
        </is>
      </c>
    </row>
    <row r="105">
      <c r="A105" s="842" t="inlineStr">
        <is>
          <t>Locked By</t>
        </is>
      </c>
      <c r="B105" t="inlineStr">
        <is>
          <t>sschindler</t>
        </is>
      </c>
    </row>
    <row r="106">
      <c r="A106" s="842" t="inlineStr">
        <is>
          <t>Locked TS</t>
        </is>
      </c>
      <c r="B106" s="843" t="n">
        <v>44975.60108883075</v>
      </c>
    </row>
    <row r="108">
      <c r="A108" s="842" t="inlineStr">
        <is>
          <t>Feeder</t>
        </is>
      </c>
      <c r="B108" s="842" t="inlineStr">
        <is>
          <t>Item</t>
        </is>
      </c>
      <c r="C108" s="842" t="inlineStr">
        <is>
          <t>%</t>
        </is>
      </c>
      <c r="D108" s="842" t="inlineStr">
        <is>
          <t>Agitator</t>
        </is>
      </c>
      <c r="E108" s="842" t="inlineStr">
        <is>
          <t>Screw/Tube</t>
        </is>
      </c>
      <c r="F108" s="842" t="inlineStr">
        <is>
          <t>Switch</t>
        </is>
      </c>
      <c r="G108" s="842" t="inlineStr">
        <is>
          <t>Refill</t>
        </is>
      </c>
      <c r="H108" s="842" t="inlineStr">
        <is>
          <t>IFF</t>
        </is>
      </c>
      <c r="I108" s="842" t="inlineStr"/>
      <c r="J108" s="842" t="inlineStr">
        <is>
          <t>#</t>
        </is>
      </c>
      <c r="K108" s="842" t="inlineStr">
        <is>
          <t>Item</t>
        </is>
      </c>
      <c r="L108" s="842" t="inlineStr">
        <is>
          <t>%</t>
        </is>
      </c>
      <c r="M108" s="842" t="inlineStr">
        <is>
          <t>#</t>
        </is>
      </c>
      <c r="N108" s="842" t="inlineStr">
        <is>
          <t>Item</t>
        </is>
      </c>
      <c r="O108" s="842" t="inlineStr">
        <is>
          <t>%</t>
        </is>
      </c>
    </row>
    <row r="109">
      <c r="A109" t="inlineStr">
        <is>
          <t>F1</t>
        </is>
      </c>
      <c r="B109" t="inlineStr">
        <is>
          <t>6730J</t>
        </is>
      </c>
      <c r="C109" t="n">
        <v>9.5</v>
      </c>
      <c r="D109" t="b">
        <v>0</v>
      </c>
      <c r="E109" t="inlineStr">
        <is>
          <t>80/80_LPA</t>
        </is>
      </c>
      <c r="F109" t="inlineStr">
        <is>
          <t>High</t>
        </is>
      </c>
      <c r="G109" t="inlineStr">
        <is>
          <t>50/100</t>
        </is>
      </c>
      <c r="J109" t="inlineStr">
        <is>
          <t>1</t>
        </is>
      </c>
      <c r="K109" t="inlineStr">
        <is>
          <t>BT 2202 30LB BAG</t>
        </is>
      </c>
      <c r="L109" t="n">
        <v>0.5</v>
      </c>
      <c r="M109" t="inlineStr">
        <is>
          <t>1</t>
        </is>
      </c>
    </row>
    <row r="110">
      <c r="A110" t="inlineStr">
        <is>
          <t>F2</t>
        </is>
      </c>
      <c r="B110" t="inlineStr">
        <is>
          <t>HD6706.17</t>
        </is>
      </c>
      <c r="C110" t="n">
        <v>3.5</v>
      </c>
      <c r="D110" t="b">
        <v>1</v>
      </c>
      <c r="E110" t="inlineStr">
        <is>
          <t>60/60_LPA</t>
        </is>
      </c>
      <c r="F110" t="inlineStr">
        <is>
          <t>Low</t>
        </is>
      </c>
      <c r="G110" t="inlineStr">
        <is>
          <t>50/75</t>
        </is>
      </c>
      <c r="J110" t="inlineStr">
        <is>
          <t>2</t>
        </is>
      </c>
      <c r="K110" t="inlineStr">
        <is>
          <t>AO225</t>
        </is>
      </c>
      <c r="L110" t="n">
        <v>0.15</v>
      </c>
      <c r="M110" t="inlineStr">
        <is>
          <t>2</t>
        </is>
      </c>
    </row>
    <row r="111">
      <c r="A111" t="inlineStr">
        <is>
          <t>F3</t>
        </is>
      </c>
      <c r="B111" t="inlineStr">
        <is>
          <t>PP7905E1</t>
        </is>
      </c>
      <c r="C111" t="n">
        <v>35</v>
      </c>
      <c r="D111" t="b">
        <v>0</v>
      </c>
      <c r="E111" t="inlineStr">
        <is>
          <t>60/60_LPA</t>
        </is>
      </c>
      <c r="F111" t="inlineStr">
        <is>
          <t>High</t>
        </is>
      </c>
      <c r="G111" t="inlineStr">
        <is>
          <t>50/125</t>
        </is>
      </c>
      <c r="J111" t="inlineStr">
        <is>
          <t>3</t>
        </is>
      </c>
      <c r="K111" t="inlineStr">
        <is>
          <t>ZN-ST</t>
        </is>
      </c>
      <c r="L111" t="n">
        <v>0.15</v>
      </c>
      <c r="M111" t="inlineStr">
        <is>
          <t>3</t>
        </is>
      </c>
    </row>
    <row r="112">
      <c r="A112" t="inlineStr">
        <is>
          <t>F4</t>
        </is>
      </c>
      <c r="B112" t="inlineStr">
        <is>
          <t>EXACT 5171</t>
        </is>
      </c>
      <c r="C112" t="n">
        <v>16.5</v>
      </c>
      <c r="D112" t="b">
        <v>0</v>
      </c>
      <c r="E112" t="inlineStr">
        <is>
          <t>60/60_LPA</t>
        </is>
      </c>
      <c r="F112" t="inlineStr">
        <is>
          <t>High</t>
        </is>
      </c>
      <c r="G112" t="inlineStr">
        <is>
          <t>50/100</t>
        </is>
      </c>
      <c r="J112" t="inlineStr">
        <is>
          <t>4</t>
        </is>
      </c>
      <c r="K112" t="inlineStr">
        <is>
          <t>BZ120</t>
        </is>
      </c>
      <c r="L112" t="n">
        <v>0.15</v>
      </c>
      <c r="M112" t="inlineStr">
        <is>
          <t>4</t>
        </is>
      </c>
    </row>
    <row r="113">
      <c r="A113" t="inlineStr">
        <is>
          <t>F5</t>
        </is>
      </c>
      <c r="B113" t="inlineStr">
        <is>
          <t>PP7815E1</t>
        </is>
      </c>
      <c r="C113" t="n">
        <v>10</v>
      </c>
      <c r="D113" t="b">
        <v>0</v>
      </c>
      <c r="E113" t="inlineStr">
        <is>
          <t>60/60_LPA</t>
        </is>
      </c>
      <c r="F113" t="inlineStr">
        <is>
          <t>High</t>
        </is>
      </c>
      <c r="G113" t="inlineStr">
        <is>
          <t>50/100</t>
        </is>
      </c>
      <c r="J113" t="inlineStr">
        <is>
          <t>5</t>
        </is>
      </c>
      <c r="K113" t="inlineStr">
        <is>
          <t>HALS944</t>
        </is>
      </c>
      <c r="L113" t="n">
        <v>0.2</v>
      </c>
      <c r="M113" t="inlineStr">
        <is>
          <t>5</t>
        </is>
      </c>
    </row>
    <row r="114">
      <c r="A114" t="inlineStr">
        <is>
          <t>F6</t>
        </is>
      </c>
      <c r="B114" t="inlineStr">
        <is>
          <t>DYNAFLOW 8270 - MAMMOTH BLACK</t>
        </is>
      </c>
      <c r="C114" t="n">
        <v>0</v>
      </c>
      <c r="D114" t="b">
        <v>1</v>
      </c>
      <c r="E114" t="inlineStr">
        <is>
          <t>60/60_LPA</t>
        </is>
      </c>
      <c r="F114" t="inlineStr">
        <is>
          <t>Low</t>
        </is>
      </c>
      <c r="G114" t="inlineStr">
        <is>
          <t>50/100</t>
        </is>
      </c>
      <c r="J114" t="inlineStr">
        <is>
          <t>6</t>
        </is>
      </c>
      <c r="K114" t="inlineStr">
        <is>
          <t>AMIDE-E</t>
        </is>
      </c>
      <c r="L114" t="n">
        <v>0.4</v>
      </c>
      <c r="M114" t="inlineStr">
        <is>
          <t>6</t>
        </is>
      </c>
    </row>
    <row r="115">
      <c r="A115" t="inlineStr">
        <is>
          <t>F7</t>
        </is>
      </c>
      <c r="B115" t="inlineStr">
        <is>
          <t>HTP ULTRA 5C</t>
        </is>
      </c>
      <c r="C115" t="n">
        <v>22</v>
      </c>
      <c r="D115" t="b">
        <v>1</v>
      </c>
      <c r="E115" t="inlineStr">
        <is>
          <t>100/100_LPA</t>
        </is>
      </c>
      <c r="F115" t="inlineStr">
        <is>
          <t>High</t>
        </is>
      </c>
      <c r="G115" t="inlineStr">
        <is>
          <t>40/80</t>
        </is>
      </c>
      <c r="J115" t="inlineStr">
        <is>
          <t>7</t>
        </is>
      </c>
      <c r="K115" t="inlineStr">
        <is>
          <t>AMIDE-O</t>
        </is>
      </c>
      <c r="L115" t="n">
        <v>0.1</v>
      </c>
    </row>
    <row r="116">
      <c r="A116" t="inlineStr">
        <is>
          <t>F8</t>
        </is>
      </c>
      <c r="B116" t="inlineStr">
        <is>
          <t>B1</t>
        </is>
      </c>
      <c r="C116" t="n">
        <v>3.5</v>
      </c>
      <c r="D116" t="b">
        <v>1</v>
      </c>
      <c r="E116" t="inlineStr">
        <is>
          <t>60/60_LPA</t>
        </is>
      </c>
      <c r="F116" t="inlineStr">
        <is>
          <t>Low</t>
        </is>
      </c>
      <c r="G116" t="inlineStr">
        <is>
          <t>20/25</t>
        </is>
      </c>
      <c r="J116" t="inlineStr">
        <is>
          <t>8</t>
        </is>
      </c>
      <c r="K116" t="inlineStr">
        <is>
          <t>TI02</t>
        </is>
      </c>
      <c r="L116" t="n">
        <v>0.12</v>
      </c>
    </row>
    <row r="117">
      <c r="A117" t="inlineStr">
        <is>
          <t>F9</t>
        </is>
      </c>
      <c r="J117" t="inlineStr">
        <is>
          <t>9</t>
        </is>
      </c>
      <c r="K117" t="inlineStr">
        <is>
          <t>RAVEN 2000 BEADS</t>
        </is>
      </c>
      <c r="L117" t="n">
        <v>0.8</v>
      </c>
    </row>
    <row r="118">
      <c r="J118" t="inlineStr">
        <is>
          <t>10</t>
        </is>
      </c>
      <c r="K118" t="inlineStr">
        <is>
          <t>TOMATEC 42-118A</t>
        </is>
      </c>
      <c r="L118" t="n">
        <v>0</v>
      </c>
    </row>
    <row r="119">
      <c r="J119" t="inlineStr">
        <is>
          <t>11</t>
        </is>
      </c>
      <c r="K119" t="inlineStr">
        <is>
          <t>8300P PHTHALO BLUE 15:3</t>
        </is>
      </c>
      <c r="L119" t="n">
        <v>0.24</v>
      </c>
    </row>
    <row r="120">
      <c r="J120" t="inlineStr">
        <is>
          <t>12</t>
        </is>
      </c>
      <c r="K120" t="inlineStr">
        <is>
          <t>BAYFERROX 180NM</t>
        </is>
      </c>
      <c r="L120" t="n">
        <v>0</v>
      </c>
    </row>
    <row r="121">
      <c r="J121" t="inlineStr">
        <is>
          <t>13</t>
        </is>
      </c>
      <c r="K121" t="inlineStr">
        <is>
          <t>3777 PHTHALO GREEN 7</t>
        </is>
      </c>
      <c r="L121" t="n">
        <v>0.19</v>
      </c>
    </row>
    <row r="122">
      <c r="J122" t="inlineStr">
        <is>
          <t>14</t>
        </is>
      </c>
      <c r="K122" t="inlineStr">
        <is>
          <t>BT 2202 30LB BAG</t>
        </is>
      </c>
      <c r="L122" t="n">
        <v>0.5</v>
      </c>
    </row>
    <row r="123">
      <c r="J123" t="inlineStr">
        <is>
          <t>15</t>
        </is>
      </c>
    </row>
    <row r="124">
      <c r="J124" t="inlineStr">
        <is>
          <t>16</t>
        </is>
      </c>
    </row>
    <row r="125">
      <c r="J125" t="inlineStr">
        <is>
          <t>17</t>
        </is>
      </c>
    </row>
    <row r="126">
      <c r="J126" t="inlineStr">
        <is>
          <t>18</t>
        </is>
      </c>
    </row>
    <row r="127">
      <c r="J127" t="inlineStr">
        <is>
          <t>19</t>
        </is>
      </c>
    </row>
    <row r="128">
      <c r="J128" t="inlineStr">
        <is>
          <t>20</t>
        </is>
      </c>
    </row>
    <row r="129">
      <c r="J129" t="inlineStr">
        <is>
          <t>21</t>
        </is>
      </c>
    </row>
    <row r="130">
      <c r="J130" t="inlineStr">
        <is>
          <t>22</t>
        </is>
      </c>
    </row>
    <row r="131">
      <c r="J131" t="inlineStr">
        <is>
          <t>23</t>
        </is>
      </c>
    </row>
    <row r="132">
      <c r="J132" t="inlineStr">
        <is>
          <t>24</t>
        </is>
      </c>
    </row>
    <row r="150">
      <c r="A150" s="839" t="inlineStr">
        <is>
          <t>Parameter Info for Job 23B020</t>
        </is>
      </c>
    </row>
    <row r="151">
      <c r="A151" s="842" t="inlineStr">
        <is>
          <t>Customer</t>
        </is>
      </c>
      <c r="B151" t="inlineStr">
        <is>
          <t>MYTEX</t>
        </is>
      </c>
    </row>
    <row r="152">
      <c r="A152" s="842" t="inlineStr">
        <is>
          <t>Product</t>
        </is>
      </c>
      <c r="B152" t="inlineStr">
        <is>
          <t>DYNAFLOW 8270 - MAMMOTH BLACK</t>
        </is>
      </c>
    </row>
    <row r="153">
      <c r="A153" s="842" t="inlineStr">
        <is>
          <t>Ver</t>
        </is>
      </c>
      <c r="B153" t="inlineStr">
        <is>
          <t>23B020</t>
        </is>
      </c>
    </row>
    <row r="154">
      <c r="A154" s="842" t="inlineStr">
        <is>
          <t>Line</t>
        </is>
      </c>
      <c r="B154" t="inlineStr">
        <is>
          <t>6</t>
        </is>
      </c>
    </row>
    <row r="155">
      <c r="A155" s="842" t="inlineStr">
        <is>
          <t>Compounder Type</t>
        </is>
      </c>
      <c r="B155" t="inlineStr">
        <is>
          <t>CM</t>
        </is>
      </c>
    </row>
    <row r="156">
      <c r="A156" s="842" t="inlineStr">
        <is>
          <t>Pelletizer Type</t>
        </is>
      </c>
      <c r="B156" t="inlineStr">
        <is>
          <t>UWP</t>
        </is>
      </c>
    </row>
    <row r="157">
      <c r="A157" s="842" t="inlineStr">
        <is>
          <t>Locked By</t>
        </is>
      </c>
      <c r="B157" t="inlineStr">
        <is>
          <t>sschindler</t>
        </is>
      </c>
    </row>
    <row r="158">
      <c r="A158" s="842" t="inlineStr">
        <is>
          <t>Locked TS</t>
        </is>
      </c>
      <c r="B158" s="843" t="n">
        <v>44975.60543886782</v>
      </c>
    </row>
    <row r="160">
      <c r="A160" s="842" t="inlineStr">
        <is>
          <t>Z1</t>
        </is>
      </c>
      <c r="B160" t="inlineStr">
        <is>
          <t>480</t>
        </is>
      </c>
      <c r="C160" s="842" t="inlineStr">
        <is>
          <t>z16</t>
        </is>
      </c>
      <c r="E160" s="842" t="inlineStr">
        <is>
          <t>rpm2</t>
        </is>
      </c>
      <c r="F160" t="inlineStr">
        <is>
          <t>85</t>
        </is>
      </c>
    </row>
    <row r="161">
      <c r="A161" s="842" t="inlineStr">
        <is>
          <t>Z2</t>
        </is>
      </c>
      <c r="B161" t="inlineStr">
        <is>
          <t>480</t>
        </is>
      </c>
      <c r="C161" s="842" t="inlineStr">
        <is>
          <t>z17</t>
        </is>
      </c>
      <c r="E161" s="842" t="inlineStr">
        <is>
          <t>pwr2</t>
        </is>
      </c>
      <c r="F161" t="inlineStr">
        <is>
          <t>TBD</t>
        </is>
      </c>
    </row>
    <row r="162">
      <c r="A162" s="842" t="inlineStr">
        <is>
          <t>Z3</t>
        </is>
      </c>
      <c r="B162" t="inlineStr">
        <is>
          <t>460</t>
        </is>
      </c>
      <c r="C162" s="842" t="inlineStr">
        <is>
          <t>die</t>
        </is>
      </c>
      <c r="D162" t="inlineStr">
        <is>
          <t>500</t>
        </is>
      </c>
      <c r="E162" s="842" t="inlineStr">
        <is>
          <t>die_size</t>
        </is>
      </c>
      <c r="F162" t="inlineStr">
        <is>
          <t>.110</t>
        </is>
      </c>
    </row>
    <row r="163">
      <c r="A163" s="842" t="inlineStr">
        <is>
          <t>Z4</t>
        </is>
      </c>
      <c r="B163" t="inlineStr">
        <is>
          <t>460</t>
        </is>
      </c>
      <c r="C163" s="842" t="inlineStr">
        <is>
          <t>melt</t>
        </is>
      </c>
      <c r="E163" s="842" t="inlineStr">
        <is>
          <t>die_holes</t>
        </is>
      </c>
      <c r="F163" t="inlineStr">
        <is>
          <t>100</t>
        </is>
      </c>
    </row>
    <row r="164">
      <c r="A164" s="842" t="inlineStr">
        <is>
          <t>Z5</t>
        </is>
      </c>
      <c r="B164" t="inlineStr">
        <is>
          <t>440</t>
        </is>
      </c>
      <c r="C164" s="842" t="inlineStr">
        <is>
          <t>screw</t>
        </is>
      </c>
      <c r="E164" s="842" t="inlineStr">
        <is>
          <t>die_pattern</t>
        </is>
      </c>
      <c r="F164" t="inlineStr">
        <is>
          <t>OPEN</t>
        </is>
      </c>
    </row>
    <row r="165">
      <c r="A165" s="842" t="inlineStr">
        <is>
          <t>Z6</t>
        </is>
      </c>
      <c r="B165" t="inlineStr">
        <is>
          <t>420</t>
        </is>
      </c>
      <c r="C165" s="842" t="inlineStr">
        <is>
          <t>nitrogen</t>
        </is>
      </c>
      <c r="E165" s="842" t="inlineStr">
        <is>
          <t>spring</t>
        </is>
      </c>
      <c r="F165" t="inlineStr">
        <is>
          <t>YELLOW</t>
        </is>
      </c>
    </row>
    <row r="166">
      <c r="A166" s="842" t="inlineStr">
        <is>
          <t>Z7</t>
        </is>
      </c>
      <c r="B166" t="inlineStr">
        <is>
          <t>420</t>
        </is>
      </c>
      <c r="C166" s="842" t="inlineStr">
        <is>
          <t>vent1</t>
        </is>
      </c>
      <c r="D166" t="inlineStr">
        <is>
          <t>15-20%</t>
        </is>
      </c>
      <c r="E166" s="842" t="inlineStr">
        <is>
          <t>blades</t>
        </is>
      </c>
      <c r="F166" t="inlineStr">
        <is>
          <t>12</t>
        </is>
      </c>
    </row>
    <row r="167">
      <c r="A167" s="842" t="inlineStr">
        <is>
          <t>Z8</t>
        </is>
      </c>
      <c r="B167" t="inlineStr">
        <is>
          <t>425</t>
        </is>
      </c>
      <c r="C167" s="842" t="inlineStr">
        <is>
          <t>vent2</t>
        </is>
      </c>
      <c r="D167" t="inlineStr">
        <is>
          <t>&gt;24</t>
        </is>
      </c>
      <c r="E167" s="842" t="inlineStr">
        <is>
          <t>cutter_rpm</t>
        </is>
      </c>
      <c r="F167" t="inlineStr">
        <is>
          <t>RECORD</t>
        </is>
      </c>
    </row>
    <row r="168">
      <c r="A168" s="842" t="inlineStr">
        <is>
          <t>Z9</t>
        </is>
      </c>
      <c r="B168" t="inlineStr">
        <is>
          <t>425</t>
        </is>
      </c>
      <c r="C168" s="842" t="inlineStr">
        <is>
          <t>vent3</t>
        </is>
      </c>
      <c r="E168" s="842" t="inlineStr">
        <is>
          <t>pipe</t>
        </is>
      </c>
    </row>
    <row r="169">
      <c r="A169" s="842" t="inlineStr">
        <is>
          <t>Z10</t>
        </is>
      </c>
      <c r="B169" t="inlineStr">
        <is>
          <t>425</t>
        </is>
      </c>
      <c r="C169" s="842" t="inlineStr">
        <is>
          <t>screen_pack</t>
        </is>
      </c>
      <c r="D169" t="inlineStr">
        <is>
          <t>14X88DW</t>
        </is>
      </c>
      <c r="E169" s="842" t="inlineStr">
        <is>
          <t>water_temp</t>
        </is>
      </c>
      <c r="F169" t="inlineStr">
        <is>
          <t>90-120</t>
        </is>
      </c>
    </row>
    <row r="170">
      <c r="A170" s="842" t="inlineStr">
        <is>
          <t>Z11</t>
        </is>
      </c>
      <c r="B170" t="inlineStr">
        <is>
          <t>425</t>
        </is>
      </c>
      <c r="C170" s="842" t="inlineStr">
        <is>
          <t>up_press</t>
        </is>
      </c>
      <c r="D170" t="inlineStr">
        <is>
          <t>RECORD</t>
        </is>
      </c>
      <c r="E170" s="842" t="inlineStr">
        <is>
          <t>pelletizer</t>
        </is>
      </c>
    </row>
    <row r="171">
      <c r="A171" s="842" t="inlineStr">
        <is>
          <t>Z12</t>
        </is>
      </c>
      <c r="C171" s="842" t="inlineStr">
        <is>
          <t>dn_press</t>
        </is>
      </c>
      <c r="D171" t="inlineStr">
        <is>
          <t>RECORD</t>
        </is>
      </c>
      <c r="E171" s="842" t="inlineStr">
        <is>
          <t>water_bath</t>
        </is>
      </c>
    </row>
    <row r="172">
      <c r="A172" s="842" t="inlineStr">
        <is>
          <t>Z13</t>
        </is>
      </c>
      <c r="C172" s="842" t="inlineStr">
        <is>
          <t>feed_rate</t>
        </is>
      </c>
      <c r="D172" t="inlineStr">
        <is>
          <t>4800</t>
        </is>
      </c>
      <c r="E172" s="842" t="inlineStr">
        <is>
          <t>air_knife</t>
        </is>
      </c>
    </row>
    <row r="173">
      <c r="A173" s="842" t="inlineStr">
        <is>
          <t>Z14</t>
        </is>
      </c>
      <c r="C173" s="842" t="inlineStr">
        <is>
          <t>rpm1</t>
        </is>
      </c>
      <c r="D173" t="inlineStr">
        <is>
          <t>525 +/-20</t>
        </is>
      </c>
      <c r="E173" s="842" t="inlineStr">
        <is>
          <t>class_hole_size</t>
        </is>
      </c>
      <c r="F173" t="inlineStr">
        <is>
          <t>STD</t>
        </is>
      </c>
    </row>
    <row r="174">
      <c r="A174" s="842" t="inlineStr">
        <is>
          <t>Z15</t>
        </is>
      </c>
      <c r="C174" s="842" t="inlineStr">
        <is>
          <t>pwr1</t>
        </is>
      </c>
      <c r="D174" t="inlineStr">
        <is>
          <t>TBD</t>
        </is>
      </c>
      <c r="E174" s="842" t="inlineStr">
        <is>
          <t>metal_sep</t>
        </is>
      </c>
    </row>
  </sheetData>
  <pageMargins left="0.7" right="0.7" top="0.75" bottom="0.75" header="0.3" footer="0.3"/>
</worksheet>
</file>

<file path=xl/worksheets/sheet10.xml><?xml version="1.0" encoding="utf-8"?>
<worksheet xmlns="http://schemas.openxmlformats.org/spreadsheetml/2006/main">
  <sheetPr codeName="Sheet12">
    <outlinePr summaryBelow="1" summaryRight="1"/>
    <pageSetUpPr/>
  </sheetPr>
  <dimension ref="A1:CE53"/>
  <sheetViews>
    <sheetView showGridLines="0" view="pageBreakPreview" topLeftCell="A2" zoomScaleNormal="100" zoomScaleSheetLayoutView="100" workbookViewId="0">
      <selection activeCell="C4" sqref="C4:G4"/>
    </sheetView>
  </sheetViews>
  <sheetFormatPr baseColWidth="8" defaultRowHeight="12.5"/>
  <cols>
    <col width="8.7265625" customWidth="1" style="662" min="1" max="12"/>
    <col width="11.1796875" customWidth="1" style="662" min="13" max="13"/>
    <col width="9.1796875" customWidth="1" style="662" min="14" max="256"/>
    <col width="8.7265625" customWidth="1" style="662" min="257" max="268"/>
    <col width="11.1796875" customWidth="1" style="662" min="269" max="269"/>
    <col width="9.1796875" customWidth="1" style="662" min="270" max="512"/>
    <col width="8.7265625" customWidth="1" style="662" min="513" max="524"/>
    <col width="11.1796875" customWidth="1" style="662" min="525" max="525"/>
    <col width="9.1796875" customWidth="1" style="662" min="526" max="768"/>
    <col width="8.7265625" customWidth="1" style="662" min="769" max="780"/>
    <col width="11.1796875" customWidth="1" style="662" min="781" max="781"/>
    <col width="9.1796875" customWidth="1" style="662" min="782" max="1024"/>
    <col width="8.7265625" customWidth="1" style="662" min="1025" max="1036"/>
    <col width="11.1796875" customWidth="1" style="662" min="1037" max="1037"/>
    <col width="9.1796875" customWidth="1" style="662" min="1038" max="1280"/>
    <col width="8.7265625" customWidth="1" style="662" min="1281" max="1292"/>
    <col width="11.1796875" customWidth="1" style="662" min="1293" max="1293"/>
    <col width="9.1796875" customWidth="1" style="662" min="1294" max="1536"/>
    <col width="8.7265625" customWidth="1" style="662" min="1537" max="1548"/>
    <col width="11.1796875" customWidth="1" style="662" min="1549" max="1549"/>
    <col width="9.1796875" customWidth="1" style="662" min="1550" max="1792"/>
    <col width="8.7265625" customWidth="1" style="662" min="1793" max="1804"/>
    <col width="11.1796875" customWidth="1" style="662" min="1805" max="1805"/>
    <col width="9.1796875" customWidth="1" style="662" min="1806" max="2048"/>
    <col width="8.7265625" customWidth="1" style="662" min="2049" max="2060"/>
    <col width="11.1796875" customWidth="1" style="662" min="2061" max="2061"/>
    <col width="9.1796875" customWidth="1" style="662" min="2062" max="2304"/>
    <col width="8.7265625" customWidth="1" style="662" min="2305" max="2316"/>
    <col width="11.1796875" customWidth="1" style="662" min="2317" max="2317"/>
    <col width="9.1796875" customWidth="1" style="662" min="2318" max="2560"/>
    <col width="8.7265625" customWidth="1" style="662" min="2561" max="2572"/>
    <col width="11.1796875" customWidth="1" style="662" min="2573" max="2573"/>
    <col width="9.1796875" customWidth="1" style="662" min="2574" max="2816"/>
    <col width="8.7265625" customWidth="1" style="662" min="2817" max="2828"/>
    <col width="11.1796875" customWidth="1" style="662" min="2829" max="2829"/>
    <col width="9.1796875" customWidth="1" style="662" min="2830" max="3072"/>
    <col width="8.7265625" customWidth="1" style="662" min="3073" max="3084"/>
    <col width="11.1796875" customWidth="1" style="662" min="3085" max="3085"/>
    <col width="9.1796875" customWidth="1" style="662" min="3086" max="3328"/>
    <col width="8.7265625" customWidth="1" style="662" min="3329" max="3340"/>
    <col width="11.1796875" customWidth="1" style="662" min="3341" max="3341"/>
    <col width="9.1796875" customWidth="1" style="662" min="3342" max="3584"/>
    <col width="8.7265625" customWidth="1" style="662" min="3585" max="3596"/>
    <col width="11.1796875" customWidth="1" style="662" min="3597" max="3597"/>
    <col width="9.1796875" customWidth="1" style="662" min="3598" max="3840"/>
    <col width="8.7265625" customWidth="1" style="662" min="3841" max="3852"/>
    <col width="11.1796875" customWidth="1" style="662" min="3853" max="3853"/>
    <col width="9.1796875" customWidth="1" style="662" min="3854" max="4096"/>
    <col width="8.7265625" customWidth="1" style="662" min="4097" max="4108"/>
    <col width="11.1796875" customWidth="1" style="662" min="4109" max="4109"/>
    <col width="9.1796875" customWidth="1" style="662" min="4110" max="4352"/>
    <col width="8.7265625" customWidth="1" style="662" min="4353" max="4364"/>
    <col width="11.1796875" customWidth="1" style="662" min="4365" max="4365"/>
    <col width="9.1796875" customWidth="1" style="662" min="4366" max="4608"/>
    <col width="8.7265625" customWidth="1" style="662" min="4609" max="4620"/>
    <col width="11.1796875" customWidth="1" style="662" min="4621" max="4621"/>
    <col width="9.1796875" customWidth="1" style="662" min="4622" max="4864"/>
    <col width="8.7265625" customWidth="1" style="662" min="4865" max="4876"/>
    <col width="11.1796875" customWidth="1" style="662" min="4877" max="4877"/>
    <col width="9.1796875" customWidth="1" style="662" min="4878" max="5120"/>
    <col width="8.7265625" customWidth="1" style="662" min="5121" max="5132"/>
    <col width="11.1796875" customWidth="1" style="662" min="5133" max="5133"/>
    <col width="9.1796875" customWidth="1" style="662" min="5134" max="5376"/>
    <col width="8.7265625" customWidth="1" style="662" min="5377" max="5388"/>
    <col width="11.1796875" customWidth="1" style="662" min="5389" max="5389"/>
    <col width="9.1796875" customWidth="1" style="662" min="5390" max="5632"/>
    <col width="8.7265625" customWidth="1" style="662" min="5633" max="5644"/>
    <col width="11.1796875" customWidth="1" style="662" min="5645" max="5645"/>
    <col width="9.1796875" customWidth="1" style="662" min="5646" max="5888"/>
    <col width="8.7265625" customWidth="1" style="662" min="5889" max="5900"/>
    <col width="11.1796875" customWidth="1" style="662" min="5901" max="5901"/>
    <col width="9.1796875" customWidth="1" style="662" min="5902" max="6144"/>
    <col width="8.7265625" customWidth="1" style="662" min="6145" max="6156"/>
    <col width="11.1796875" customWidth="1" style="662" min="6157" max="6157"/>
    <col width="9.1796875" customWidth="1" style="662" min="6158" max="6400"/>
    <col width="8.7265625" customWidth="1" style="662" min="6401" max="6412"/>
    <col width="11.1796875" customWidth="1" style="662" min="6413" max="6413"/>
    <col width="9.1796875" customWidth="1" style="662" min="6414" max="6656"/>
    <col width="8.7265625" customWidth="1" style="662" min="6657" max="6668"/>
    <col width="11.1796875" customWidth="1" style="662" min="6669" max="6669"/>
    <col width="9.1796875" customWidth="1" style="662" min="6670" max="6912"/>
    <col width="8.7265625" customWidth="1" style="662" min="6913" max="6924"/>
    <col width="11.1796875" customWidth="1" style="662" min="6925" max="6925"/>
    <col width="9.1796875" customWidth="1" style="662" min="6926" max="7168"/>
    <col width="8.7265625" customWidth="1" style="662" min="7169" max="7180"/>
    <col width="11.1796875" customWidth="1" style="662" min="7181" max="7181"/>
    <col width="9.1796875" customWidth="1" style="662" min="7182" max="7424"/>
    <col width="8.7265625" customWidth="1" style="662" min="7425" max="7436"/>
    <col width="11.1796875" customWidth="1" style="662" min="7437" max="7437"/>
    <col width="9.1796875" customWidth="1" style="662" min="7438" max="7680"/>
    <col width="8.7265625" customWidth="1" style="662" min="7681" max="7692"/>
    <col width="11.1796875" customWidth="1" style="662" min="7693" max="7693"/>
    <col width="9.1796875" customWidth="1" style="662" min="7694" max="7936"/>
    <col width="8.7265625" customWidth="1" style="662" min="7937" max="7948"/>
    <col width="11.1796875" customWidth="1" style="662" min="7949" max="7949"/>
    <col width="9.1796875" customWidth="1" style="662" min="7950" max="8192"/>
    <col width="8.7265625" customWidth="1" style="662" min="8193" max="8204"/>
    <col width="11.1796875" customWidth="1" style="662" min="8205" max="8205"/>
    <col width="9.1796875" customWidth="1" style="662" min="8206" max="8448"/>
    <col width="8.7265625" customWidth="1" style="662" min="8449" max="8460"/>
    <col width="11.1796875" customWidth="1" style="662" min="8461" max="8461"/>
    <col width="9.1796875" customWidth="1" style="662" min="8462" max="8704"/>
    <col width="8.7265625" customWidth="1" style="662" min="8705" max="8716"/>
    <col width="11.1796875" customWidth="1" style="662" min="8717" max="8717"/>
    <col width="9.1796875" customWidth="1" style="662" min="8718" max="8960"/>
    <col width="8.7265625" customWidth="1" style="662" min="8961" max="8972"/>
    <col width="11.1796875" customWidth="1" style="662" min="8973" max="8973"/>
    <col width="9.1796875" customWidth="1" style="662" min="8974" max="9216"/>
    <col width="8.7265625" customWidth="1" style="662" min="9217" max="9228"/>
    <col width="11.1796875" customWidth="1" style="662" min="9229" max="9229"/>
    <col width="9.1796875" customWidth="1" style="662" min="9230" max="9472"/>
    <col width="8.7265625" customWidth="1" style="662" min="9473" max="9484"/>
    <col width="11.1796875" customWidth="1" style="662" min="9485" max="9485"/>
    <col width="9.1796875" customWidth="1" style="662" min="9486" max="9728"/>
    <col width="8.7265625" customWidth="1" style="662" min="9729" max="9740"/>
    <col width="11.1796875" customWidth="1" style="662" min="9741" max="9741"/>
    <col width="9.1796875" customWidth="1" style="662" min="9742" max="9984"/>
    <col width="8.7265625" customWidth="1" style="662" min="9985" max="9996"/>
    <col width="11.1796875" customWidth="1" style="662" min="9997" max="9997"/>
    <col width="9.1796875" customWidth="1" style="662" min="9998" max="10240"/>
    <col width="8.7265625" customWidth="1" style="662" min="10241" max="10252"/>
    <col width="11.1796875" customWidth="1" style="662" min="10253" max="10253"/>
    <col width="9.1796875" customWidth="1" style="662" min="10254" max="10496"/>
    <col width="8.7265625" customWidth="1" style="662" min="10497" max="10508"/>
    <col width="11.1796875" customWidth="1" style="662" min="10509" max="10509"/>
    <col width="9.1796875" customWidth="1" style="662" min="10510" max="10752"/>
    <col width="8.7265625" customWidth="1" style="662" min="10753" max="10764"/>
    <col width="11.1796875" customWidth="1" style="662" min="10765" max="10765"/>
    <col width="9.1796875" customWidth="1" style="662" min="10766" max="11008"/>
    <col width="8.7265625" customWidth="1" style="662" min="11009" max="11020"/>
    <col width="11.1796875" customWidth="1" style="662" min="11021" max="11021"/>
    <col width="9.1796875" customWidth="1" style="662" min="11022" max="11264"/>
    <col width="8.7265625" customWidth="1" style="662" min="11265" max="11276"/>
    <col width="11.1796875" customWidth="1" style="662" min="11277" max="11277"/>
    <col width="9.1796875" customWidth="1" style="662" min="11278" max="11520"/>
    <col width="8.7265625" customWidth="1" style="662" min="11521" max="11532"/>
    <col width="11.1796875" customWidth="1" style="662" min="11533" max="11533"/>
    <col width="9.1796875" customWidth="1" style="662" min="11534" max="11776"/>
    <col width="8.7265625" customWidth="1" style="662" min="11777" max="11788"/>
    <col width="11.1796875" customWidth="1" style="662" min="11789" max="11789"/>
    <col width="9.1796875" customWidth="1" style="662" min="11790" max="12032"/>
    <col width="8.7265625" customWidth="1" style="662" min="12033" max="12044"/>
    <col width="11.1796875" customWidth="1" style="662" min="12045" max="12045"/>
    <col width="9.1796875" customWidth="1" style="662" min="12046" max="12288"/>
    <col width="8.7265625" customWidth="1" style="662" min="12289" max="12300"/>
    <col width="11.1796875" customWidth="1" style="662" min="12301" max="12301"/>
    <col width="9.1796875" customWidth="1" style="662" min="12302" max="12544"/>
    <col width="8.7265625" customWidth="1" style="662" min="12545" max="12556"/>
    <col width="11.1796875" customWidth="1" style="662" min="12557" max="12557"/>
    <col width="9.1796875" customWidth="1" style="662" min="12558" max="12800"/>
    <col width="8.7265625" customWidth="1" style="662" min="12801" max="12812"/>
    <col width="11.1796875" customWidth="1" style="662" min="12813" max="12813"/>
    <col width="9.1796875" customWidth="1" style="662" min="12814" max="13056"/>
    <col width="8.7265625" customWidth="1" style="662" min="13057" max="13068"/>
    <col width="11.1796875" customWidth="1" style="662" min="13069" max="13069"/>
    <col width="9.1796875" customWidth="1" style="662" min="13070" max="13312"/>
    <col width="8.7265625" customWidth="1" style="662" min="13313" max="13324"/>
    <col width="11.1796875" customWidth="1" style="662" min="13325" max="13325"/>
    <col width="9.1796875" customWidth="1" style="662" min="13326" max="13568"/>
    <col width="8.7265625" customWidth="1" style="662" min="13569" max="13580"/>
    <col width="11.1796875" customWidth="1" style="662" min="13581" max="13581"/>
    <col width="9.1796875" customWidth="1" style="662" min="13582" max="13824"/>
    <col width="8.7265625" customWidth="1" style="662" min="13825" max="13836"/>
    <col width="11.1796875" customWidth="1" style="662" min="13837" max="13837"/>
    <col width="9.1796875" customWidth="1" style="662" min="13838" max="14080"/>
    <col width="8.7265625" customWidth="1" style="662" min="14081" max="14092"/>
    <col width="11.1796875" customWidth="1" style="662" min="14093" max="14093"/>
    <col width="9.1796875" customWidth="1" style="662" min="14094" max="14336"/>
    <col width="8.7265625" customWidth="1" style="662" min="14337" max="14348"/>
    <col width="11.1796875" customWidth="1" style="662" min="14349" max="14349"/>
    <col width="9.1796875" customWidth="1" style="662" min="14350" max="14592"/>
    <col width="8.7265625" customWidth="1" style="662" min="14593" max="14604"/>
    <col width="11.1796875" customWidth="1" style="662" min="14605" max="14605"/>
    <col width="9.1796875" customWidth="1" style="662" min="14606" max="14848"/>
    <col width="8.7265625" customWidth="1" style="662" min="14849" max="14860"/>
    <col width="11.1796875" customWidth="1" style="662" min="14861" max="14861"/>
    <col width="9.1796875" customWidth="1" style="662" min="14862" max="15104"/>
    <col width="8.7265625" customWidth="1" style="662" min="15105" max="15116"/>
    <col width="11.1796875" customWidth="1" style="662" min="15117" max="15117"/>
    <col width="9.1796875" customWidth="1" style="662" min="15118" max="15360"/>
    <col width="8.7265625" customWidth="1" style="662" min="15361" max="15372"/>
    <col width="11.1796875" customWidth="1" style="662" min="15373" max="15373"/>
    <col width="9.1796875" customWidth="1" style="662" min="15374" max="15616"/>
    <col width="8.7265625" customWidth="1" style="662" min="15617" max="15628"/>
    <col width="11.1796875" customWidth="1" style="662" min="15629" max="15629"/>
    <col width="9.1796875" customWidth="1" style="662" min="15630" max="15872"/>
    <col width="8.7265625" customWidth="1" style="662" min="15873" max="15884"/>
    <col width="11.1796875" customWidth="1" style="662" min="15885" max="15885"/>
    <col width="9.1796875" customWidth="1" style="662" min="15886" max="16128"/>
    <col width="8.7265625" customWidth="1" style="662" min="16129" max="16140"/>
    <col width="11.1796875" customWidth="1" style="662" min="16141" max="16141"/>
    <col width="9.1796875" customWidth="1" style="662" min="16142" max="16384"/>
  </cols>
  <sheetData>
    <row r="1" ht="50.25" customHeight="1">
      <c r="A1" s="916" t="inlineStr">
        <is>
          <t>MPCI</t>
        </is>
      </c>
      <c r="B1" s="714" t="inlineStr">
        <is>
          <t>FEEDER LOG</t>
        </is>
      </c>
      <c r="C1" s="437" t="n"/>
      <c r="D1" s="437" t="n"/>
      <c r="E1" s="630" t="inlineStr">
        <is>
          <t>DOC:        FRM-104</t>
        </is>
      </c>
      <c r="F1" s="558" t="inlineStr">
        <is>
          <t>REVISION LEVEL: 011</t>
        </is>
      </c>
      <c r="G1" s="856" t="n"/>
      <c r="H1" s="856" t="n"/>
      <c r="I1" s="857" t="n"/>
      <c r="J1" s="560" t="inlineStr">
        <is>
          <t>ISSUE DATE: 9/30/19</t>
        </is>
      </c>
      <c r="K1" s="856" t="n"/>
      <c r="L1" s="857" t="n"/>
      <c r="M1" s="179" t="n"/>
      <c r="T1" s="46" t="n"/>
      <c r="U1" s="46" t="n"/>
      <c r="V1" s="46" t="n"/>
      <c r="W1" s="46" t="n"/>
      <c r="X1" s="46" t="n"/>
      <c r="Y1" s="46" t="n"/>
      <c r="Z1" s="46" t="n"/>
      <c r="AA1" s="46" t="n"/>
      <c r="AB1" s="46" t="n"/>
      <c r="AC1" s="46" t="n"/>
      <c r="AD1" s="46" t="n"/>
      <c r="AE1" s="46" t="n"/>
      <c r="AF1" s="46" t="n"/>
      <c r="AG1" s="46" t="n"/>
      <c r="AH1" s="46" t="n"/>
      <c r="AI1" s="46" t="n"/>
      <c r="AJ1" s="46" t="n"/>
      <c r="AK1" s="46" t="n"/>
      <c r="AL1" s="46" t="n"/>
      <c r="AM1" s="46" t="n"/>
      <c r="AN1" s="46" t="n"/>
      <c r="AO1" s="46" t="n"/>
      <c r="AP1" s="46" t="n"/>
      <c r="AQ1" s="46" t="n"/>
      <c r="AR1" s="46" t="n"/>
      <c r="AS1" s="46" t="n"/>
      <c r="AT1" s="46" t="n"/>
      <c r="AU1" s="46" t="n"/>
      <c r="AV1" s="46" t="n"/>
      <c r="AW1" s="46" t="n"/>
      <c r="AX1" s="46" t="n"/>
      <c r="AY1" s="46" t="n"/>
      <c r="AZ1" s="46" t="n"/>
      <c r="BA1" s="46" t="n"/>
      <c r="BB1" s="46" t="n"/>
      <c r="BC1" s="46" t="n"/>
      <c r="BD1" s="46" t="n"/>
      <c r="BE1" s="46" t="n"/>
      <c r="BF1" s="46" t="n"/>
      <c r="BG1" s="46" t="n"/>
      <c r="BH1" s="46" t="n"/>
      <c r="BI1" s="46" t="n"/>
      <c r="BJ1" s="46" t="n"/>
      <c r="BK1" s="46" t="n"/>
      <c r="BL1" s="46" t="n"/>
      <c r="BM1" s="46" t="n"/>
      <c r="BN1" s="46" t="n"/>
      <c r="BO1" s="46" t="n"/>
      <c r="BP1" s="46" t="n"/>
      <c r="BR1" s="46" t="n"/>
      <c r="BS1" s="46" t="n"/>
      <c r="BT1" s="46" t="n"/>
      <c r="BU1" s="46" t="n"/>
      <c r="BV1" s="46" t="n"/>
      <c r="BW1" s="46" t="n"/>
      <c r="BX1" s="46" t="n"/>
      <c r="BY1" s="46" t="n"/>
      <c r="BZ1" s="46" t="n"/>
      <c r="CA1" s="46" t="n"/>
      <c r="CB1" s="46" t="n"/>
      <c r="CC1" s="46" t="n"/>
      <c r="CD1" s="46" t="n"/>
      <c r="CE1" s="46" t="n"/>
    </row>
    <row r="2" ht="30" customHeight="1">
      <c r="A2" s="846" t="n"/>
      <c r="B2" s="917" t="inlineStr">
        <is>
          <t>Form Reviewed by: Quality Coordinator</t>
        </is>
      </c>
      <c r="C2" s="856" t="n"/>
      <c r="D2" s="857" t="n"/>
      <c r="E2" s="558" t="inlineStr">
        <is>
          <t>Form Approved by: Site Manager</t>
        </is>
      </c>
      <c r="F2" s="857" t="n"/>
      <c r="G2" s="558" t="inlineStr">
        <is>
          <t>Reference:  Feeder Operation PRO-010;                                           Process Step # 4 "Feeding"</t>
        </is>
      </c>
      <c r="H2" s="856" t="n"/>
      <c r="I2" s="856" t="n"/>
      <c r="J2" s="856" t="n"/>
      <c r="K2" s="856" t="n"/>
      <c r="L2" s="857" t="n"/>
      <c r="M2" s="179" t="n"/>
      <c r="N2" s="258" t="n"/>
      <c r="O2" s="258" t="n"/>
      <c r="T2" s="46" t="n"/>
      <c r="U2" s="46" t="n"/>
      <c r="V2" s="46" t="n"/>
      <c r="W2" s="46" t="n"/>
      <c r="X2" s="46" t="n"/>
      <c r="Y2" s="46" t="n"/>
      <c r="Z2" s="46" t="n"/>
      <c r="AA2" s="46" t="n"/>
      <c r="AB2" s="46" t="n"/>
      <c r="AC2" s="46" t="n"/>
      <c r="AD2" s="46" t="n"/>
      <c r="AE2" s="46" t="n"/>
      <c r="AF2" s="46" t="n"/>
      <c r="AG2" s="46" t="n"/>
      <c r="AH2" s="46" t="n"/>
      <c r="AI2" s="46" t="n"/>
      <c r="AJ2" s="46" t="n"/>
      <c r="AK2" s="46" t="n"/>
      <c r="AL2" s="46" t="n"/>
      <c r="AM2" s="46" t="n"/>
      <c r="AN2" s="46" t="n"/>
      <c r="AO2" s="46" t="n"/>
      <c r="AP2" s="46" t="n"/>
      <c r="AQ2" s="46" t="n"/>
      <c r="AR2" s="46" t="n"/>
      <c r="AS2" s="46" t="n"/>
      <c r="AT2" s="46" t="n"/>
      <c r="AU2" s="46" t="n"/>
      <c r="AV2" s="46" t="n"/>
      <c r="AW2" s="46" t="n"/>
      <c r="AX2" s="46" t="n"/>
      <c r="AY2" s="46" t="n"/>
      <c r="AZ2" s="46" t="n"/>
      <c r="BA2" s="46" t="n"/>
      <c r="BB2" s="46" t="n"/>
      <c r="BC2" s="46" t="n"/>
      <c r="BD2" s="46" t="n"/>
      <c r="BE2" s="46" t="n"/>
      <c r="BF2" s="46" t="n"/>
      <c r="BG2" s="46" t="n"/>
      <c r="BH2" s="46" t="n"/>
      <c r="BI2" s="46" t="n"/>
      <c r="BJ2" s="46" t="n"/>
      <c r="BK2" s="46" t="n"/>
      <c r="BL2" s="46" t="n"/>
      <c r="BM2" s="46" t="n"/>
      <c r="BN2" s="46" t="n"/>
      <c r="BO2" s="46" t="n"/>
      <c r="BP2" s="46" t="n"/>
      <c r="BR2" s="47" t="n"/>
      <c r="BS2" s="47" t="n"/>
      <c r="BT2" s="47" t="n"/>
      <c r="BU2" s="47" t="n"/>
      <c r="BV2" s="47" t="n"/>
      <c r="BW2" s="47" t="n"/>
      <c r="BX2" s="47" t="n"/>
      <c r="BY2" s="47" t="n"/>
      <c r="BZ2" s="47" t="n"/>
      <c r="CA2" s="47" t="n"/>
      <c r="CB2" s="47" t="n"/>
      <c r="CC2" s="47" t="n"/>
      <c r="CD2" s="47" t="n"/>
      <c r="CE2" s="47" t="n"/>
    </row>
    <row r="3" ht="7.5" customHeight="1">
      <c r="J3" s="653" t="n"/>
      <c r="K3" s="653" t="n"/>
      <c r="L3" s="653" t="n"/>
    </row>
    <row r="4" ht="24" customFormat="1" customHeight="1" s="248">
      <c r="A4" s="918" t="inlineStr">
        <is>
          <t>RAW MATERIAL:</t>
        </is>
      </c>
      <c r="B4" s="857" t="n"/>
      <c r="C4" s="743">
        <f>PACKET!G6</f>
        <v/>
      </c>
      <c r="D4" s="856" t="n"/>
      <c r="E4" s="856" t="n"/>
      <c r="F4" s="856" t="n"/>
      <c r="G4" s="856" t="n"/>
      <c r="H4" s="919" t="inlineStr">
        <is>
          <t>JOB NUMBER:</t>
        </is>
      </c>
      <c r="I4" s="857" t="n"/>
      <c r="J4" s="920">
        <f>PACKET!C27</f>
        <v/>
      </c>
      <c r="K4" s="856" t="n"/>
      <c r="L4" s="857" t="n"/>
    </row>
    <row r="5" ht="26.25" customFormat="1" customHeight="1" s="248">
      <c r="A5" s="918" t="inlineStr">
        <is>
          <t>LINE NUMBER:</t>
        </is>
      </c>
      <c r="B5" s="857" t="n"/>
      <c r="C5" s="259">
        <f>PACKET!C26</f>
        <v/>
      </c>
      <c r="D5" s="918" t="inlineStr">
        <is>
          <t>FEEDER NUMBER:</t>
        </is>
      </c>
      <c r="E5" s="857" t="n"/>
      <c r="F5" s="920" t="inlineStr">
        <is>
          <t>TWO</t>
        </is>
      </c>
      <c r="G5" s="857" t="n"/>
      <c r="H5" s="919" t="inlineStr">
        <is>
          <t>T.L. APPROVAL:</t>
        </is>
      </c>
      <c r="I5" s="857" t="n"/>
      <c r="J5" s="259">
        <f>PACKET!C5</f>
        <v/>
      </c>
      <c r="K5" s="856" t="n"/>
      <c r="L5" s="857" t="n"/>
    </row>
    <row r="6" ht="9.75" customFormat="1" customHeight="1" s="248">
      <c r="A6" s="260" t="n"/>
      <c r="B6" s="260" t="n"/>
      <c r="C6" s="261" t="n"/>
      <c r="D6" s="260" t="n"/>
      <c r="E6" s="260" t="n"/>
      <c r="F6" s="262" t="n"/>
      <c r="G6" s="170" t="n"/>
      <c r="H6" s="169" t="n"/>
      <c r="I6" s="169" t="n"/>
      <c r="J6" s="263" t="n"/>
      <c r="K6" s="263" t="n"/>
      <c r="L6" s="263" t="n"/>
    </row>
    <row r="7" ht="24" customFormat="1" customHeight="1" s="248">
      <c r="A7" s="263" t="n"/>
      <c r="B7" s="264" t="n"/>
      <c r="C7" s="264" t="n"/>
      <c r="D7" s="263" t="n"/>
      <c r="E7" s="263" t="n"/>
      <c r="F7" s="263" t="n"/>
      <c r="G7" s="263" t="n"/>
      <c r="H7" s="263" t="n"/>
      <c r="I7" s="263" t="n"/>
      <c r="J7" s="264" t="n"/>
      <c r="K7" s="264" t="n"/>
      <c r="L7" s="264" t="n"/>
    </row>
    <row r="8" ht="15" customFormat="1" customHeight="1" s="248">
      <c r="A8" s="720" t="inlineStr">
        <is>
          <t>BOX, CRATE, SS, AND BOWL MATERIAL</t>
        </is>
      </c>
      <c r="B8" s="856" t="n"/>
      <c r="C8" s="856" t="n"/>
      <c r="D8" s="856" t="n"/>
      <c r="E8" s="856" t="n"/>
      <c r="F8" s="921" t="inlineStr">
        <is>
          <t>RAILCAR MATERIAL</t>
        </is>
      </c>
      <c r="G8" s="856" t="n"/>
      <c r="H8" s="856" t="n"/>
      <c r="I8" s="856" t="n"/>
      <c r="J8" s="856" t="n"/>
      <c r="K8" s="856" t="n"/>
      <c r="L8" s="857" t="n"/>
    </row>
    <row r="9" ht="15" customFormat="1" customHeight="1" s="248">
      <c r="A9" s="922" t="inlineStr">
        <is>
          <t xml:space="preserve">Throughout job, from beginning to end; record Team, Date, R #  for every Receiver of material loaded. Load material in FIFO order. When consuming multiple packages of the same receiver, only one entry is required per shift.  For Blends record every bowl number loaded. No 2nd check is necessary. </t>
        </is>
      </c>
      <c r="B9" s="437" t="n"/>
      <c r="C9" s="437" t="n"/>
      <c r="D9" s="437" t="n"/>
      <c r="E9" s="859" t="n"/>
      <c r="F9" s="923" t="inlineStr">
        <is>
          <t>When using material out of a railcar, use the Event Log to track the railcar usage. Record all other material usage on this form.</t>
        </is>
      </c>
      <c r="G9" s="437" t="n"/>
      <c r="H9" s="437" t="n"/>
      <c r="I9" s="437" t="n"/>
      <c r="J9" s="437" t="n"/>
      <c r="K9" s="437" t="n"/>
      <c r="L9" s="859" t="n"/>
    </row>
    <row r="10" ht="15" customFormat="1" customHeight="1" s="248">
      <c r="A10" s="854" t="n"/>
      <c r="E10" s="528" t="n"/>
      <c r="F10" s="474" t="n"/>
      <c r="G10" s="441" t="n"/>
      <c r="H10" s="441" t="n"/>
      <c r="I10" s="441" t="n"/>
      <c r="J10" s="441" t="n"/>
      <c r="K10" s="441" t="n"/>
      <c r="L10" s="442" t="n"/>
    </row>
    <row r="11" ht="15" customFormat="1" customHeight="1" s="248">
      <c r="A11" s="474" t="n"/>
      <c r="B11" s="441" t="n"/>
      <c r="C11" s="441" t="n"/>
      <c r="D11" s="441" t="n"/>
      <c r="E11" s="442" t="n"/>
      <c r="F11" s="923" t="inlineStr">
        <is>
          <t>At start of job; record  Car #, Comp, and R #. On the Event Log  .  The 2nd check will be completed on the Changeover Checklist.</t>
        </is>
      </c>
      <c r="G11" s="437" t="n"/>
      <c r="H11" s="437" t="n"/>
      <c r="I11" s="437" t="n"/>
      <c r="J11" s="437" t="n"/>
      <c r="K11" s="437" t="n"/>
      <c r="L11" s="859" t="n"/>
    </row>
    <row r="12" ht="15" customFormat="1" customHeight="1" s="248">
      <c r="A12" s="924" t="inlineStr">
        <is>
          <t>MISCELLANEOUS</t>
        </is>
      </c>
      <c r="B12" s="856" t="n"/>
      <c r="C12" s="856" t="n"/>
      <c r="D12" s="856" t="n"/>
      <c r="E12" s="857" t="n"/>
      <c r="F12" s="474" t="n"/>
      <c r="G12" s="441" t="n"/>
      <c r="H12" s="441" t="n"/>
      <c r="I12" s="441" t="n"/>
      <c r="J12" s="441" t="n"/>
      <c r="K12" s="441" t="n"/>
      <c r="L12" s="442" t="n"/>
    </row>
    <row r="13" ht="15" customFormat="1" customHeight="1" s="248">
      <c r="A13" s="925" t="inlineStr">
        <is>
          <t>Contact Supervision if another Feeder Log is needed!</t>
        </is>
      </c>
      <c r="B13" s="437" t="n"/>
      <c r="C13" s="437" t="n"/>
      <c r="D13" s="437" t="n"/>
      <c r="E13" s="859" t="n"/>
      <c r="F13" s="923" t="inlineStr">
        <is>
          <t>During the job; at the start of each shift, double-check that the correct railcar is being used. Ensure that the correct information of Car #, Comp and R # is recorded on the Event Log.  This must be completed within the first 60 minutes of taking the floor.</t>
        </is>
      </c>
      <c r="G13" s="437" t="n"/>
      <c r="H13" s="437" t="n"/>
      <c r="I13" s="437" t="n"/>
      <c r="J13" s="437" t="n"/>
      <c r="K13" s="437" t="n"/>
      <c r="L13" s="859" t="n"/>
    </row>
    <row r="14" ht="15" customFormat="1" customHeight="1" s="248">
      <c r="A14" s="474" t="n"/>
      <c r="B14" s="441" t="n"/>
      <c r="C14" s="441" t="n"/>
      <c r="D14" s="441" t="n"/>
      <c r="E14" s="442" t="n"/>
      <c r="F14" s="854" t="n"/>
      <c r="L14" s="528" t="n"/>
    </row>
    <row r="15" ht="15" customFormat="1" customHeight="1" s="248">
      <c r="A15" s="926" t="inlineStr">
        <is>
          <t xml:space="preserve">Remember                                                                           That all Mezzanine material loaded                                              must match each individual feeder log                                             Feeder # 8,                                                                        Notify labs (QC and Color) when changing out blends during a production run </t>
        </is>
      </c>
      <c r="B15" s="437" t="n"/>
      <c r="C15" s="437" t="n"/>
      <c r="D15" s="437" t="n"/>
      <c r="E15" s="859" t="n"/>
      <c r="F15" s="474" t="n"/>
      <c r="G15" s="441" t="n"/>
      <c r="H15" s="441" t="n"/>
      <c r="I15" s="441" t="n"/>
      <c r="J15" s="441" t="n"/>
      <c r="K15" s="441" t="n"/>
      <c r="L15" s="442" t="n"/>
    </row>
    <row r="16" ht="15" customFormat="1" customHeight="1" s="248">
      <c r="A16" s="854" t="n"/>
      <c r="E16" s="528" t="n"/>
      <c r="F16" s="927" t="inlineStr">
        <is>
          <t>During the job; after switching a compartment or railcar, record Car #, Comp.,R #, totalizer value for that feeder and time of the new compartment or railcar on the Event Log.  Have another employee double-check that the switch is correct.  That employee is to initial in the Double Check column.  This must be completed within 60 minutes of the switch.</t>
        </is>
      </c>
      <c r="G16" s="437" t="n"/>
      <c r="H16" s="437" t="n"/>
      <c r="I16" s="437" t="n"/>
      <c r="J16" s="437" t="n"/>
      <c r="K16" s="437" t="n"/>
      <c r="L16" s="859" t="n"/>
    </row>
    <row r="17" ht="15" customFormat="1" customHeight="1" s="248">
      <c r="A17" s="854" t="n"/>
      <c r="E17" s="528" t="n"/>
      <c r="F17" s="854" t="n"/>
      <c r="L17" s="528" t="n"/>
    </row>
    <row r="18" ht="27.75" customFormat="1" customHeight="1" s="248">
      <c r="A18" s="474" t="n"/>
      <c r="B18" s="441" t="n"/>
      <c r="C18" s="441" t="n"/>
      <c r="D18" s="441" t="n"/>
      <c r="E18" s="442" t="n"/>
      <c r="F18" s="854" t="n"/>
      <c r="L18" s="528" t="n"/>
    </row>
    <row r="19" ht="30" customFormat="1" customHeight="1" s="248">
      <c r="A19" s="265" t="inlineStr">
        <is>
          <t>Staged Receiver Numbers for the Job</t>
        </is>
      </c>
      <c r="B19" s="266" t="n"/>
      <c r="C19" s="266" t="n"/>
      <c r="D19" s="266" t="n"/>
      <c r="E19" s="267" t="n"/>
      <c r="F19" s="267" t="n"/>
      <c r="G19" s="585" t="inlineStr">
        <is>
          <t>Type:     Box/Crate          R/C            Blend        Supersack</t>
        </is>
      </c>
      <c r="H19" s="267" t="n"/>
      <c r="I19" s="267" t="n"/>
      <c r="J19" s="267" t="n"/>
      <c r="K19" s="267" t="n"/>
      <c r="L19" s="586" t="n"/>
    </row>
    <row r="20">
      <c r="A20" s="928" t="n"/>
      <c r="B20" s="859" t="n"/>
      <c r="C20" s="928" t="n"/>
      <c r="D20" s="859" t="n"/>
      <c r="E20" s="929" t="n"/>
      <c r="F20" s="437" t="n"/>
      <c r="G20" s="930" t="n"/>
      <c r="H20" s="528" t="n"/>
      <c r="I20" s="931" t="n"/>
      <c r="J20" s="528" t="n"/>
      <c r="K20" s="931" t="n"/>
      <c r="L20" s="528" t="n"/>
    </row>
    <row r="21">
      <c r="A21" s="474" t="n"/>
      <c r="B21" s="442" t="n"/>
      <c r="C21" s="474" t="n"/>
      <c r="D21" s="442" t="n"/>
      <c r="E21" s="474" t="n"/>
      <c r="F21" s="441" t="n"/>
      <c r="G21" s="932" t="n"/>
      <c r="H21" s="442" t="n"/>
      <c r="I21" s="474" t="n"/>
      <c r="J21" s="442" t="n"/>
      <c r="K21" s="474" t="n"/>
      <c r="L21" s="442" t="n"/>
    </row>
    <row r="22" ht="0.75" customHeight="1">
      <c r="A22" s="928" t="inlineStr">
        <is>
          <t xml:space="preserve"> </t>
        </is>
      </c>
      <c r="B22" s="859" t="n"/>
      <c r="C22" s="928" t="inlineStr">
        <is>
          <t xml:space="preserve"> </t>
        </is>
      </c>
      <c r="D22" s="859" t="n"/>
      <c r="E22" s="929" t="inlineStr">
        <is>
          <t xml:space="preserve"> </t>
        </is>
      </c>
      <c r="F22" s="437" t="n"/>
      <c r="G22" s="933" t="inlineStr">
        <is>
          <t xml:space="preserve"> </t>
        </is>
      </c>
      <c r="H22" s="859" t="n"/>
      <c r="I22" s="928" t="inlineStr">
        <is>
          <t xml:space="preserve"> </t>
        </is>
      </c>
      <c r="J22" s="859" t="n"/>
      <c r="K22" s="928" t="inlineStr">
        <is>
          <t xml:space="preserve"> </t>
        </is>
      </c>
      <c r="L22" s="859" t="n"/>
    </row>
    <row r="23" hidden="1">
      <c r="A23" s="474" t="n"/>
      <c r="B23" s="442" t="n"/>
      <c r="C23" s="474" t="n"/>
      <c r="D23" s="442" t="n"/>
      <c r="E23" s="474" t="n"/>
      <c r="F23" s="441" t="n"/>
      <c r="G23" s="932" t="n"/>
      <c r="H23" s="442" t="n"/>
      <c r="I23" s="474" t="n"/>
      <c r="J23" s="442" t="n"/>
      <c r="K23" s="474" t="n"/>
      <c r="L23" s="442" t="n"/>
    </row>
    <row r="24" ht="12.75" customHeight="1">
      <c r="A24" s="934" t="inlineStr">
        <is>
          <t>Team / Date</t>
        </is>
      </c>
      <c r="B24" s="859" t="n"/>
      <c r="C24" s="935" t="inlineStr">
        <is>
          <t>Time/initials</t>
        </is>
      </c>
      <c r="D24" s="859" t="n"/>
      <c r="E24" s="936" t="inlineStr">
        <is>
          <t>R# / Bowl #</t>
        </is>
      </c>
      <c r="F24" s="859" t="n"/>
      <c r="G24" s="934" t="inlineStr">
        <is>
          <t>Team / Date</t>
        </is>
      </c>
      <c r="H24" s="859" t="n"/>
      <c r="I24" s="935" t="inlineStr">
        <is>
          <t>Time/initials</t>
        </is>
      </c>
      <c r="J24" s="859" t="n"/>
      <c r="K24" s="936" t="inlineStr">
        <is>
          <t>R# / Bowl #</t>
        </is>
      </c>
      <c r="L24" s="859" t="n"/>
    </row>
    <row r="25" ht="12.75" customHeight="1">
      <c r="A25" s="932" t="n"/>
      <c r="B25" s="442" t="n"/>
      <c r="C25" s="474" t="n"/>
      <c r="D25" s="442" t="n"/>
      <c r="E25" s="474" t="n"/>
      <c r="F25" s="442" t="n"/>
      <c r="G25" s="932" t="n"/>
      <c r="H25" s="442" t="n"/>
      <c r="I25" s="474" t="n"/>
      <c r="J25" s="442" t="n"/>
      <c r="K25" s="474" t="n"/>
      <c r="L25" s="442" t="n"/>
    </row>
    <row r="26">
      <c r="A26" s="928" t="inlineStr">
        <is>
          <t xml:space="preserve"> </t>
        </is>
      </c>
      <c r="B26" s="859" t="n"/>
      <c r="C26" s="928" t="inlineStr">
        <is>
          <t xml:space="preserve"> </t>
        </is>
      </c>
      <c r="D26" s="859" t="n"/>
      <c r="E26" s="929" t="inlineStr">
        <is>
          <t xml:space="preserve"> </t>
        </is>
      </c>
      <c r="F26" s="437" t="n"/>
      <c r="G26" s="933" t="inlineStr">
        <is>
          <t xml:space="preserve"> </t>
        </is>
      </c>
      <c r="H26" s="859" t="n"/>
      <c r="I26" s="928" t="inlineStr">
        <is>
          <t xml:space="preserve"> </t>
        </is>
      </c>
      <c r="J26" s="859" t="n"/>
      <c r="K26" s="928" t="inlineStr">
        <is>
          <t xml:space="preserve"> </t>
        </is>
      </c>
      <c r="L26" s="859" t="n"/>
    </row>
    <row r="27">
      <c r="A27" s="474" t="n"/>
      <c r="B27" s="442" t="n"/>
      <c r="C27" s="474" t="n"/>
      <c r="D27" s="442" t="n"/>
      <c r="E27" s="474" t="n"/>
      <c r="F27" s="441" t="n"/>
      <c r="G27" s="932" t="n"/>
      <c r="H27" s="442" t="n"/>
      <c r="I27" s="474" t="n"/>
      <c r="J27" s="442" t="n"/>
      <c r="K27" s="474" t="n"/>
      <c r="L27" s="442" t="n"/>
    </row>
    <row r="28">
      <c r="A28" s="928" t="inlineStr">
        <is>
          <t xml:space="preserve"> </t>
        </is>
      </c>
      <c r="B28" s="859" t="n"/>
      <c r="C28" s="928" t="inlineStr">
        <is>
          <t xml:space="preserve"> </t>
        </is>
      </c>
      <c r="D28" s="859" t="n"/>
      <c r="E28" s="929" t="inlineStr">
        <is>
          <t xml:space="preserve"> </t>
        </is>
      </c>
      <c r="F28" s="437" t="n"/>
      <c r="G28" s="933" t="inlineStr">
        <is>
          <t xml:space="preserve"> </t>
        </is>
      </c>
      <c r="H28" s="859" t="n"/>
      <c r="I28" s="928" t="inlineStr">
        <is>
          <t xml:space="preserve"> </t>
        </is>
      </c>
      <c r="J28" s="859" t="n"/>
      <c r="K28" s="928" t="inlineStr">
        <is>
          <t xml:space="preserve"> </t>
        </is>
      </c>
      <c r="L28" s="859" t="n"/>
    </row>
    <row r="29">
      <c r="A29" s="474" t="n"/>
      <c r="B29" s="442" t="n"/>
      <c r="C29" s="474" t="n"/>
      <c r="D29" s="442" t="n"/>
      <c r="E29" s="474" t="n"/>
      <c r="F29" s="441" t="n"/>
      <c r="G29" s="932" t="n"/>
      <c r="H29" s="442" t="n"/>
      <c r="I29" s="474" t="n"/>
      <c r="J29" s="442" t="n"/>
      <c r="K29" s="474" t="n"/>
      <c r="L29" s="442" t="n"/>
    </row>
    <row r="30">
      <c r="A30" s="928" t="inlineStr">
        <is>
          <t xml:space="preserve"> </t>
        </is>
      </c>
      <c r="B30" s="859" t="n"/>
      <c r="C30" s="928" t="inlineStr">
        <is>
          <t xml:space="preserve"> </t>
        </is>
      </c>
      <c r="D30" s="859" t="n"/>
      <c r="E30" s="929" t="inlineStr">
        <is>
          <t xml:space="preserve"> </t>
        </is>
      </c>
      <c r="F30" s="437" t="n"/>
      <c r="G30" s="933" t="inlineStr">
        <is>
          <t xml:space="preserve"> </t>
        </is>
      </c>
      <c r="H30" s="859" t="n"/>
      <c r="I30" s="928" t="inlineStr">
        <is>
          <t xml:space="preserve"> </t>
        </is>
      </c>
      <c r="J30" s="859" t="n"/>
      <c r="K30" s="928" t="inlineStr">
        <is>
          <t xml:space="preserve"> </t>
        </is>
      </c>
      <c r="L30" s="859" t="n"/>
    </row>
    <row r="31">
      <c r="A31" s="474" t="n"/>
      <c r="B31" s="442" t="n"/>
      <c r="C31" s="474" t="n"/>
      <c r="D31" s="442" t="n"/>
      <c r="E31" s="474" t="n"/>
      <c r="F31" s="441" t="n"/>
      <c r="G31" s="932" t="n"/>
      <c r="H31" s="442" t="n"/>
      <c r="I31" s="474" t="n"/>
      <c r="J31" s="442" t="n"/>
      <c r="K31" s="474" t="n"/>
      <c r="L31" s="442" t="n"/>
    </row>
    <row r="32">
      <c r="A32" s="928" t="inlineStr">
        <is>
          <t xml:space="preserve"> </t>
        </is>
      </c>
      <c r="B32" s="859" t="n"/>
      <c r="C32" s="928" t="inlineStr">
        <is>
          <t xml:space="preserve"> </t>
        </is>
      </c>
      <c r="D32" s="859" t="n"/>
      <c r="E32" s="929" t="inlineStr">
        <is>
          <t xml:space="preserve"> </t>
        </is>
      </c>
      <c r="F32" s="437" t="n"/>
      <c r="G32" s="933" t="inlineStr">
        <is>
          <t xml:space="preserve"> </t>
        </is>
      </c>
      <c r="H32" s="859" t="n"/>
      <c r="I32" s="928" t="inlineStr">
        <is>
          <t xml:space="preserve"> </t>
        </is>
      </c>
      <c r="J32" s="859" t="n"/>
      <c r="K32" s="928" t="inlineStr">
        <is>
          <t xml:space="preserve"> </t>
        </is>
      </c>
      <c r="L32" s="859" t="n"/>
    </row>
    <row r="33">
      <c r="A33" s="474" t="n"/>
      <c r="B33" s="442" t="n"/>
      <c r="C33" s="474" t="n"/>
      <c r="D33" s="442" t="n"/>
      <c r="E33" s="474" t="n"/>
      <c r="F33" s="441" t="n"/>
      <c r="G33" s="932" t="n"/>
      <c r="H33" s="442" t="n"/>
      <c r="I33" s="474" t="n"/>
      <c r="J33" s="442" t="n"/>
      <c r="K33" s="474" t="n"/>
      <c r="L33" s="442" t="n"/>
    </row>
    <row r="34">
      <c r="A34" s="928" t="inlineStr">
        <is>
          <t xml:space="preserve"> </t>
        </is>
      </c>
      <c r="B34" s="859" t="n"/>
      <c r="C34" s="928" t="inlineStr">
        <is>
          <t xml:space="preserve"> </t>
        </is>
      </c>
      <c r="D34" s="859" t="n"/>
      <c r="E34" s="929" t="inlineStr">
        <is>
          <t xml:space="preserve"> </t>
        </is>
      </c>
      <c r="F34" s="437" t="n"/>
      <c r="G34" s="933" t="inlineStr">
        <is>
          <t xml:space="preserve"> </t>
        </is>
      </c>
      <c r="H34" s="859" t="n"/>
      <c r="I34" s="928" t="inlineStr">
        <is>
          <t xml:space="preserve"> </t>
        </is>
      </c>
      <c r="J34" s="859" t="n"/>
      <c r="K34" s="928" t="inlineStr">
        <is>
          <t xml:space="preserve"> </t>
        </is>
      </c>
      <c r="L34" s="859" t="n"/>
    </row>
    <row r="35">
      <c r="A35" s="474" t="n"/>
      <c r="B35" s="442" t="n"/>
      <c r="C35" s="474" t="n"/>
      <c r="D35" s="442" t="n"/>
      <c r="E35" s="474" t="n"/>
      <c r="F35" s="441" t="n"/>
      <c r="G35" s="932" t="n"/>
      <c r="H35" s="442" t="n"/>
      <c r="I35" s="474" t="n"/>
      <c r="J35" s="442" t="n"/>
      <c r="K35" s="474" t="n"/>
      <c r="L35" s="442" t="n"/>
    </row>
    <row r="36">
      <c r="A36" s="928" t="inlineStr">
        <is>
          <t xml:space="preserve"> </t>
        </is>
      </c>
      <c r="B36" s="859" t="n"/>
      <c r="C36" s="928" t="inlineStr">
        <is>
          <t xml:space="preserve"> </t>
        </is>
      </c>
      <c r="D36" s="859" t="n"/>
      <c r="E36" s="929" t="inlineStr">
        <is>
          <t xml:space="preserve"> </t>
        </is>
      </c>
      <c r="F36" s="437" t="n"/>
      <c r="G36" s="933" t="inlineStr">
        <is>
          <t xml:space="preserve"> </t>
        </is>
      </c>
      <c r="H36" s="859" t="n"/>
      <c r="I36" s="928" t="inlineStr">
        <is>
          <t xml:space="preserve"> </t>
        </is>
      </c>
      <c r="J36" s="859" t="n"/>
      <c r="K36" s="928" t="inlineStr">
        <is>
          <t xml:space="preserve"> </t>
        </is>
      </c>
      <c r="L36" s="859" t="n"/>
    </row>
    <row r="37">
      <c r="A37" s="474" t="n"/>
      <c r="B37" s="442" t="n"/>
      <c r="C37" s="474" t="n"/>
      <c r="D37" s="442" t="n"/>
      <c r="E37" s="474" t="n"/>
      <c r="F37" s="441" t="n"/>
      <c r="G37" s="932" t="n"/>
      <c r="H37" s="442" t="n"/>
      <c r="I37" s="474" t="n"/>
      <c r="J37" s="442" t="n"/>
      <c r="K37" s="474" t="n"/>
      <c r="L37" s="442" t="n"/>
    </row>
    <row r="38">
      <c r="A38" s="928" t="inlineStr">
        <is>
          <t xml:space="preserve"> </t>
        </is>
      </c>
      <c r="B38" s="859" t="n"/>
      <c r="C38" s="928" t="inlineStr">
        <is>
          <t xml:space="preserve"> </t>
        </is>
      </c>
      <c r="D38" s="859" t="n"/>
      <c r="E38" s="929" t="inlineStr">
        <is>
          <t xml:space="preserve"> </t>
        </is>
      </c>
      <c r="F38" s="437" t="n"/>
      <c r="G38" s="933" t="inlineStr">
        <is>
          <t xml:space="preserve"> </t>
        </is>
      </c>
      <c r="H38" s="859" t="n"/>
      <c r="I38" s="928" t="inlineStr">
        <is>
          <t xml:space="preserve"> </t>
        </is>
      </c>
      <c r="J38" s="859" t="n"/>
      <c r="K38" s="928" t="inlineStr">
        <is>
          <t xml:space="preserve"> </t>
        </is>
      </c>
      <c r="L38" s="859" t="n"/>
    </row>
    <row r="39">
      <c r="A39" s="474" t="n"/>
      <c r="B39" s="442" t="n"/>
      <c r="C39" s="474" t="n"/>
      <c r="D39" s="442" t="n"/>
      <c r="E39" s="474" t="n"/>
      <c r="F39" s="441" t="n"/>
      <c r="G39" s="932" t="n"/>
      <c r="H39" s="442" t="n"/>
      <c r="I39" s="474" t="n"/>
      <c r="J39" s="442" t="n"/>
      <c r="K39" s="474" t="n"/>
      <c r="L39" s="442" t="n"/>
    </row>
    <row r="40">
      <c r="A40" s="928" t="inlineStr">
        <is>
          <t xml:space="preserve"> </t>
        </is>
      </c>
      <c r="B40" s="859" t="n"/>
      <c r="C40" s="928" t="inlineStr">
        <is>
          <t xml:space="preserve"> </t>
        </is>
      </c>
      <c r="D40" s="859" t="n"/>
      <c r="E40" s="929" t="inlineStr">
        <is>
          <t xml:space="preserve"> </t>
        </is>
      </c>
      <c r="F40" s="437" t="n"/>
      <c r="G40" s="933" t="inlineStr">
        <is>
          <t xml:space="preserve"> </t>
        </is>
      </c>
      <c r="H40" s="859" t="n"/>
      <c r="I40" s="928" t="inlineStr">
        <is>
          <t xml:space="preserve"> </t>
        </is>
      </c>
      <c r="J40" s="859" t="n"/>
      <c r="K40" s="928" t="inlineStr">
        <is>
          <t xml:space="preserve"> </t>
        </is>
      </c>
      <c r="L40" s="859" t="n"/>
    </row>
    <row r="41">
      <c r="A41" s="474" t="n"/>
      <c r="B41" s="442" t="n"/>
      <c r="C41" s="474" t="n"/>
      <c r="D41" s="442" t="n"/>
      <c r="E41" s="474" t="n"/>
      <c r="F41" s="441" t="n"/>
      <c r="G41" s="932" t="n"/>
      <c r="H41" s="442" t="n"/>
      <c r="I41" s="474" t="n"/>
      <c r="J41" s="442" t="n"/>
      <c r="K41" s="474" t="n"/>
      <c r="L41" s="442" t="n"/>
    </row>
    <row r="42">
      <c r="A42" s="928" t="inlineStr">
        <is>
          <t xml:space="preserve"> </t>
        </is>
      </c>
      <c r="B42" s="859" t="n"/>
      <c r="C42" s="928" t="inlineStr">
        <is>
          <t xml:space="preserve"> </t>
        </is>
      </c>
      <c r="D42" s="859" t="n"/>
      <c r="E42" s="929" t="inlineStr">
        <is>
          <t xml:space="preserve"> </t>
        </is>
      </c>
      <c r="F42" s="437" t="n"/>
      <c r="G42" s="933" t="inlineStr">
        <is>
          <t xml:space="preserve"> </t>
        </is>
      </c>
      <c r="H42" s="859" t="n"/>
      <c r="I42" s="928" t="inlineStr">
        <is>
          <t xml:space="preserve"> </t>
        </is>
      </c>
      <c r="J42" s="859" t="n"/>
      <c r="K42" s="928" t="inlineStr">
        <is>
          <t xml:space="preserve"> </t>
        </is>
      </c>
      <c r="L42" s="859" t="n"/>
    </row>
    <row r="43">
      <c r="A43" s="474" t="n"/>
      <c r="B43" s="442" t="n"/>
      <c r="C43" s="474" t="n"/>
      <c r="D43" s="442" t="n"/>
      <c r="E43" s="474" t="n"/>
      <c r="F43" s="441" t="n"/>
      <c r="G43" s="932" t="n"/>
      <c r="H43" s="442" t="n"/>
      <c r="I43" s="474" t="n"/>
      <c r="J43" s="442" t="n"/>
      <c r="K43" s="474" t="n"/>
      <c r="L43" s="442" t="n"/>
    </row>
    <row r="44">
      <c r="A44" s="928" t="inlineStr">
        <is>
          <t xml:space="preserve"> </t>
        </is>
      </c>
      <c r="B44" s="859" t="n"/>
      <c r="C44" s="928" t="inlineStr">
        <is>
          <t xml:space="preserve"> </t>
        </is>
      </c>
      <c r="D44" s="859" t="n"/>
      <c r="E44" s="929" t="inlineStr">
        <is>
          <t xml:space="preserve"> </t>
        </is>
      </c>
      <c r="F44" s="437" t="n"/>
      <c r="G44" s="933" t="inlineStr">
        <is>
          <t xml:space="preserve"> </t>
        </is>
      </c>
      <c r="H44" s="859" t="n"/>
      <c r="I44" s="928" t="inlineStr">
        <is>
          <t xml:space="preserve"> </t>
        </is>
      </c>
      <c r="J44" s="859" t="n"/>
      <c r="K44" s="928" t="inlineStr">
        <is>
          <t xml:space="preserve"> </t>
        </is>
      </c>
      <c r="L44" s="859" t="n"/>
    </row>
    <row r="45">
      <c r="A45" s="474" t="n"/>
      <c r="B45" s="442" t="n"/>
      <c r="C45" s="474" t="n"/>
      <c r="D45" s="442" t="n"/>
      <c r="E45" s="474" t="n"/>
      <c r="F45" s="441" t="n"/>
      <c r="G45" s="932" t="n"/>
      <c r="H45" s="442" t="n"/>
      <c r="I45" s="474" t="n"/>
      <c r="J45" s="442" t="n"/>
      <c r="K45" s="474" t="n"/>
      <c r="L45" s="442" t="n"/>
    </row>
    <row r="46">
      <c r="A46" s="928" t="inlineStr">
        <is>
          <t xml:space="preserve"> </t>
        </is>
      </c>
      <c r="B46" s="859" t="n"/>
      <c r="C46" s="928" t="inlineStr">
        <is>
          <t xml:space="preserve"> </t>
        </is>
      </c>
      <c r="D46" s="859" t="n"/>
      <c r="E46" s="929" t="inlineStr">
        <is>
          <t xml:space="preserve"> </t>
        </is>
      </c>
      <c r="F46" s="437" t="n"/>
      <c r="G46" s="933" t="inlineStr">
        <is>
          <t xml:space="preserve"> </t>
        </is>
      </c>
      <c r="H46" s="859" t="n"/>
      <c r="I46" s="928" t="inlineStr">
        <is>
          <t xml:space="preserve"> </t>
        </is>
      </c>
      <c r="J46" s="859" t="n"/>
      <c r="K46" s="928" t="inlineStr">
        <is>
          <t xml:space="preserve"> </t>
        </is>
      </c>
      <c r="L46" s="859" t="n"/>
    </row>
    <row r="47">
      <c r="A47" s="474" t="n"/>
      <c r="B47" s="442" t="n"/>
      <c r="C47" s="474" t="n"/>
      <c r="D47" s="442" t="n"/>
      <c r="E47" s="474" t="n"/>
      <c r="F47" s="441" t="n"/>
      <c r="G47" s="932" t="n"/>
      <c r="H47" s="442" t="n"/>
      <c r="I47" s="474" t="n"/>
      <c r="J47" s="442" t="n"/>
      <c r="K47" s="474" t="n"/>
      <c r="L47" s="442" t="n"/>
    </row>
    <row r="48">
      <c r="A48" s="928" t="inlineStr">
        <is>
          <t xml:space="preserve"> </t>
        </is>
      </c>
      <c r="B48" s="859" t="n"/>
      <c r="C48" s="928" t="inlineStr">
        <is>
          <t xml:space="preserve"> </t>
        </is>
      </c>
      <c r="D48" s="859" t="n"/>
      <c r="E48" s="929" t="inlineStr">
        <is>
          <t xml:space="preserve"> </t>
        </is>
      </c>
      <c r="F48" s="437" t="n"/>
      <c r="G48" s="933" t="inlineStr">
        <is>
          <t xml:space="preserve"> </t>
        </is>
      </c>
      <c r="H48" s="859" t="n"/>
      <c r="I48" s="928" t="inlineStr">
        <is>
          <t xml:space="preserve"> </t>
        </is>
      </c>
      <c r="J48" s="859" t="n"/>
      <c r="K48" s="928" t="inlineStr">
        <is>
          <t xml:space="preserve"> </t>
        </is>
      </c>
      <c r="L48" s="859" t="n"/>
    </row>
    <row r="49">
      <c r="A49" s="474" t="n"/>
      <c r="B49" s="442" t="n"/>
      <c r="C49" s="474" t="n"/>
      <c r="D49" s="442" t="n"/>
      <c r="E49" s="474" t="n"/>
      <c r="F49" s="441" t="n"/>
      <c r="G49" s="932" t="n"/>
      <c r="H49" s="442" t="n"/>
      <c r="I49" s="474" t="n"/>
      <c r="J49" s="442" t="n"/>
      <c r="K49" s="474" t="n"/>
      <c r="L49" s="442" t="n"/>
    </row>
    <row r="50">
      <c r="A50" s="928" t="inlineStr">
        <is>
          <t xml:space="preserve"> </t>
        </is>
      </c>
      <c r="B50" s="859" t="n"/>
      <c r="C50" s="928" t="inlineStr">
        <is>
          <t xml:space="preserve"> </t>
        </is>
      </c>
      <c r="D50" s="859" t="n"/>
      <c r="E50" s="929" t="inlineStr">
        <is>
          <t xml:space="preserve"> </t>
        </is>
      </c>
      <c r="F50" s="437" t="n"/>
      <c r="G50" s="933" t="inlineStr">
        <is>
          <t xml:space="preserve"> </t>
        </is>
      </c>
      <c r="H50" s="859" t="n"/>
      <c r="I50" s="928" t="inlineStr">
        <is>
          <t xml:space="preserve"> </t>
        </is>
      </c>
      <c r="J50" s="859" t="n"/>
      <c r="K50" s="928" t="inlineStr">
        <is>
          <t xml:space="preserve"> </t>
        </is>
      </c>
      <c r="L50" s="859" t="n"/>
    </row>
    <row r="51">
      <c r="A51" s="474" t="n"/>
      <c r="B51" s="442" t="n"/>
      <c r="C51" s="474" t="n"/>
      <c r="D51" s="442" t="n"/>
      <c r="E51" s="474" t="n"/>
      <c r="F51" s="441" t="n"/>
      <c r="G51" s="932" t="n"/>
      <c r="H51" s="442" t="n"/>
      <c r="I51" s="474" t="n"/>
      <c r="J51" s="442" t="n"/>
      <c r="K51" s="474" t="n"/>
      <c r="L51" s="442" t="n"/>
    </row>
    <row r="52">
      <c r="A52" s="928" t="inlineStr">
        <is>
          <t xml:space="preserve"> </t>
        </is>
      </c>
      <c r="B52" s="859" t="n"/>
      <c r="C52" s="928" t="inlineStr">
        <is>
          <t xml:space="preserve"> </t>
        </is>
      </c>
      <c r="D52" s="859" t="n"/>
      <c r="E52" s="929" t="inlineStr">
        <is>
          <t xml:space="preserve"> </t>
        </is>
      </c>
      <c r="F52" s="437" t="n"/>
      <c r="G52" s="933" t="inlineStr">
        <is>
          <t xml:space="preserve"> </t>
        </is>
      </c>
      <c r="H52" s="859" t="n"/>
      <c r="I52" s="928" t="inlineStr">
        <is>
          <t xml:space="preserve"> </t>
        </is>
      </c>
      <c r="J52" s="859" t="n"/>
      <c r="K52" s="928" t="inlineStr">
        <is>
          <t xml:space="preserve"> </t>
        </is>
      </c>
      <c r="L52" s="859" t="n"/>
    </row>
    <row r="53">
      <c r="A53" s="474" t="n"/>
      <c r="B53" s="442" t="n"/>
      <c r="C53" s="474" t="n"/>
      <c r="D53" s="442" t="n"/>
      <c r="E53" s="474" t="n"/>
      <c r="F53" s="441" t="n"/>
      <c r="G53" s="932" t="n"/>
      <c r="H53" s="442" t="n"/>
      <c r="I53" s="474" t="n"/>
      <c r="J53" s="442" t="n"/>
      <c r="K53" s="474" t="n"/>
      <c r="L53" s="442" t="n"/>
    </row>
  </sheetData>
  <sheetProtection selectLockedCells="0" selectUnlockedCells="0" sheet="1" objects="1" insertRows="1" insertHyperlinks="1" autoFilter="1" scenarios="1" formatColumns="1" deleteColumns="1" insertColumns="1" pivotTables="1" deleteRows="1" formatCells="1" formatRows="1" sort="1"/>
  <mergeCells count="128">
    <mergeCell ref="A52:B53"/>
    <mergeCell ref="C52:D53"/>
    <mergeCell ref="E52:F53"/>
    <mergeCell ref="G52:H53"/>
    <mergeCell ref="I52:J53"/>
    <mergeCell ref="K52:L53"/>
    <mergeCell ref="A50:B51"/>
    <mergeCell ref="C50:D51"/>
    <mergeCell ref="E50:F51"/>
    <mergeCell ref="G50:H51"/>
    <mergeCell ref="I50:J51"/>
    <mergeCell ref="K50:L51"/>
    <mergeCell ref="A48:B49"/>
    <mergeCell ref="C48:D49"/>
    <mergeCell ref="E48:F49"/>
    <mergeCell ref="G48:H49"/>
    <mergeCell ref="I48:J49"/>
    <mergeCell ref="K48:L49"/>
    <mergeCell ref="A46:B47"/>
    <mergeCell ref="C46:D47"/>
    <mergeCell ref="E46:F47"/>
    <mergeCell ref="G46:H47"/>
    <mergeCell ref="I46:J47"/>
    <mergeCell ref="K46:L47"/>
    <mergeCell ref="A44:B45"/>
    <mergeCell ref="C44:D45"/>
    <mergeCell ref="E44:F45"/>
    <mergeCell ref="G44:H45"/>
    <mergeCell ref="I44:J45"/>
    <mergeCell ref="K44:L45"/>
    <mergeCell ref="A42:B43"/>
    <mergeCell ref="C42:D43"/>
    <mergeCell ref="E42:F43"/>
    <mergeCell ref="G42:H43"/>
    <mergeCell ref="I42:J43"/>
    <mergeCell ref="K42:L43"/>
    <mergeCell ref="A40:B41"/>
    <mergeCell ref="C40:D41"/>
    <mergeCell ref="E40:F41"/>
    <mergeCell ref="G40:H41"/>
    <mergeCell ref="I40:J41"/>
    <mergeCell ref="K40:L41"/>
    <mergeCell ref="A38:B39"/>
    <mergeCell ref="C38:D39"/>
    <mergeCell ref="E38:F39"/>
    <mergeCell ref="G38:H39"/>
    <mergeCell ref="I38:J39"/>
    <mergeCell ref="K38:L39"/>
    <mergeCell ref="A36:B37"/>
    <mergeCell ref="C36:D37"/>
    <mergeCell ref="E36:F37"/>
    <mergeCell ref="G36:H37"/>
    <mergeCell ref="I36:J37"/>
    <mergeCell ref="K36:L37"/>
    <mergeCell ref="A34:B35"/>
    <mergeCell ref="C34:D35"/>
    <mergeCell ref="E34:F35"/>
    <mergeCell ref="G34:H35"/>
    <mergeCell ref="I34:J35"/>
    <mergeCell ref="K34:L35"/>
    <mergeCell ref="A32:B33"/>
    <mergeCell ref="C32:D33"/>
    <mergeCell ref="E32:F33"/>
    <mergeCell ref="G32:H33"/>
    <mergeCell ref="I32:J33"/>
    <mergeCell ref="K32:L33"/>
    <mergeCell ref="A30:B31"/>
    <mergeCell ref="C30:D31"/>
    <mergeCell ref="E30:F31"/>
    <mergeCell ref="G30:H31"/>
    <mergeCell ref="I30:J31"/>
    <mergeCell ref="K30:L31"/>
    <mergeCell ref="A28:B29"/>
    <mergeCell ref="C28:D29"/>
    <mergeCell ref="E28:F29"/>
    <mergeCell ref="G28:H29"/>
    <mergeCell ref="I28:J29"/>
    <mergeCell ref="K28:L29"/>
    <mergeCell ref="A26:B27"/>
    <mergeCell ref="C26:D27"/>
    <mergeCell ref="E26:F27"/>
    <mergeCell ref="G26:H27"/>
    <mergeCell ref="I26:J27"/>
    <mergeCell ref="K26:L27"/>
    <mergeCell ref="A24:B25"/>
    <mergeCell ref="C24:D25"/>
    <mergeCell ref="E24:F25"/>
    <mergeCell ref="G24:H25"/>
    <mergeCell ref="I24:J25"/>
    <mergeCell ref="K24:L25"/>
    <mergeCell ref="A22:B23"/>
    <mergeCell ref="C22:D23"/>
    <mergeCell ref="E22:F23"/>
    <mergeCell ref="G22:H23"/>
    <mergeCell ref="I22:J23"/>
    <mergeCell ref="K22:L23"/>
    <mergeCell ref="A13:E14"/>
    <mergeCell ref="F13:L15"/>
    <mergeCell ref="A15:E18"/>
    <mergeCell ref="F16:L18"/>
    <mergeCell ref="A20:B21"/>
    <mergeCell ref="C20:D21"/>
    <mergeCell ref="E20:F21"/>
    <mergeCell ref="G20:H21"/>
    <mergeCell ref="I20:J21"/>
    <mergeCell ref="K20:L21"/>
    <mergeCell ref="A9:E11"/>
    <mergeCell ref="F9:L10"/>
    <mergeCell ref="F11:L12"/>
    <mergeCell ref="A12:E12"/>
    <mergeCell ref="A4:B4"/>
    <mergeCell ref="C4:G4"/>
    <mergeCell ref="H4:I4"/>
    <mergeCell ref="J4:L4"/>
    <mergeCell ref="A5:B5"/>
    <mergeCell ref="D5:E5"/>
    <mergeCell ref="F5:G5"/>
    <mergeCell ref="H5:I5"/>
    <mergeCell ref="J5:L5"/>
    <mergeCell ref="A1:A2"/>
    <mergeCell ref="B1:D1"/>
    <mergeCell ref="F1:I1"/>
    <mergeCell ref="J1:L1"/>
    <mergeCell ref="B2:D2"/>
    <mergeCell ref="E2:F2"/>
    <mergeCell ref="G2:L2"/>
    <mergeCell ref="A8:E8"/>
    <mergeCell ref="F8:L8"/>
  </mergeCells>
  <pageMargins left="0.33" right="0" top="0.3" bottom="0.3" header="0.25" footer="0.25"/>
  <pageSetup orientation="portrait" scale="89"/>
  <headerFooter alignWithMargins="0">
    <oddHeader/>
    <oddFooter>&amp;LNETWORK ADDRESS:  MPCI data\Forms\_x000a_Production_ Operation forms&amp;C                           &amp;RRETENTION REQUIREMENT:  Maintained with the _x000a_Job Packet for 3 years</oddFooter>
    <evenHeader/>
    <evenFooter/>
    <firstHeader/>
    <firstFooter/>
  </headerFooter>
</worksheet>
</file>

<file path=xl/worksheets/sheet11.xml><?xml version="1.0" encoding="utf-8"?>
<worksheet xmlns="http://schemas.openxmlformats.org/spreadsheetml/2006/main">
  <sheetPr codeName="Sheet13">
    <outlinePr summaryBelow="1" summaryRight="1"/>
    <pageSetUpPr/>
  </sheetPr>
  <dimension ref="A1:CE53"/>
  <sheetViews>
    <sheetView showGridLines="0" view="pageBreakPreview" zoomScale="115" zoomScaleNormal="100" zoomScaleSheetLayoutView="115" workbookViewId="0">
      <selection activeCell="A1" sqref="A1:A2"/>
    </sheetView>
  </sheetViews>
  <sheetFormatPr baseColWidth="8" defaultRowHeight="12.5"/>
  <cols>
    <col width="8.7265625" customWidth="1" style="662" min="1" max="12"/>
    <col width="11.1796875" customWidth="1" style="662" min="13" max="13"/>
    <col width="9.1796875" customWidth="1" style="662" min="14" max="256"/>
    <col width="8.7265625" customWidth="1" style="662" min="257" max="268"/>
    <col width="11.1796875" customWidth="1" style="662" min="269" max="269"/>
    <col width="9.1796875" customWidth="1" style="662" min="270" max="512"/>
    <col width="8.7265625" customWidth="1" style="662" min="513" max="524"/>
    <col width="11.1796875" customWidth="1" style="662" min="525" max="525"/>
    <col width="9.1796875" customWidth="1" style="662" min="526" max="768"/>
    <col width="8.7265625" customWidth="1" style="662" min="769" max="780"/>
    <col width="11.1796875" customWidth="1" style="662" min="781" max="781"/>
    <col width="9.1796875" customWidth="1" style="662" min="782" max="1024"/>
    <col width="8.7265625" customWidth="1" style="662" min="1025" max="1036"/>
    <col width="11.1796875" customWidth="1" style="662" min="1037" max="1037"/>
    <col width="9.1796875" customWidth="1" style="662" min="1038" max="1280"/>
    <col width="8.7265625" customWidth="1" style="662" min="1281" max="1292"/>
    <col width="11.1796875" customWidth="1" style="662" min="1293" max="1293"/>
    <col width="9.1796875" customWidth="1" style="662" min="1294" max="1536"/>
    <col width="8.7265625" customWidth="1" style="662" min="1537" max="1548"/>
    <col width="11.1796875" customWidth="1" style="662" min="1549" max="1549"/>
    <col width="9.1796875" customWidth="1" style="662" min="1550" max="1792"/>
    <col width="8.7265625" customWidth="1" style="662" min="1793" max="1804"/>
    <col width="11.1796875" customWidth="1" style="662" min="1805" max="1805"/>
    <col width="9.1796875" customWidth="1" style="662" min="1806" max="2048"/>
    <col width="8.7265625" customWidth="1" style="662" min="2049" max="2060"/>
    <col width="11.1796875" customWidth="1" style="662" min="2061" max="2061"/>
    <col width="9.1796875" customWidth="1" style="662" min="2062" max="2304"/>
    <col width="8.7265625" customWidth="1" style="662" min="2305" max="2316"/>
    <col width="11.1796875" customWidth="1" style="662" min="2317" max="2317"/>
    <col width="9.1796875" customWidth="1" style="662" min="2318" max="2560"/>
    <col width="8.7265625" customWidth="1" style="662" min="2561" max="2572"/>
    <col width="11.1796875" customWidth="1" style="662" min="2573" max="2573"/>
    <col width="9.1796875" customWidth="1" style="662" min="2574" max="2816"/>
    <col width="8.7265625" customWidth="1" style="662" min="2817" max="2828"/>
    <col width="11.1796875" customWidth="1" style="662" min="2829" max="2829"/>
    <col width="9.1796875" customWidth="1" style="662" min="2830" max="3072"/>
    <col width="8.7265625" customWidth="1" style="662" min="3073" max="3084"/>
    <col width="11.1796875" customWidth="1" style="662" min="3085" max="3085"/>
    <col width="9.1796875" customWidth="1" style="662" min="3086" max="3328"/>
    <col width="8.7265625" customWidth="1" style="662" min="3329" max="3340"/>
    <col width="11.1796875" customWidth="1" style="662" min="3341" max="3341"/>
    <col width="9.1796875" customWidth="1" style="662" min="3342" max="3584"/>
    <col width="8.7265625" customWidth="1" style="662" min="3585" max="3596"/>
    <col width="11.1796875" customWidth="1" style="662" min="3597" max="3597"/>
    <col width="9.1796875" customWidth="1" style="662" min="3598" max="3840"/>
    <col width="8.7265625" customWidth="1" style="662" min="3841" max="3852"/>
    <col width="11.1796875" customWidth="1" style="662" min="3853" max="3853"/>
    <col width="9.1796875" customWidth="1" style="662" min="3854" max="4096"/>
    <col width="8.7265625" customWidth="1" style="662" min="4097" max="4108"/>
    <col width="11.1796875" customWidth="1" style="662" min="4109" max="4109"/>
    <col width="9.1796875" customWidth="1" style="662" min="4110" max="4352"/>
    <col width="8.7265625" customWidth="1" style="662" min="4353" max="4364"/>
    <col width="11.1796875" customWidth="1" style="662" min="4365" max="4365"/>
    <col width="9.1796875" customWidth="1" style="662" min="4366" max="4608"/>
    <col width="8.7265625" customWidth="1" style="662" min="4609" max="4620"/>
    <col width="11.1796875" customWidth="1" style="662" min="4621" max="4621"/>
    <col width="9.1796875" customWidth="1" style="662" min="4622" max="4864"/>
    <col width="8.7265625" customWidth="1" style="662" min="4865" max="4876"/>
    <col width="11.1796875" customWidth="1" style="662" min="4877" max="4877"/>
    <col width="9.1796875" customWidth="1" style="662" min="4878" max="5120"/>
    <col width="8.7265625" customWidth="1" style="662" min="5121" max="5132"/>
    <col width="11.1796875" customWidth="1" style="662" min="5133" max="5133"/>
    <col width="9.1796875" customWidth="1" style="662" min="5134" max="5376"/>
    <col width="8.7265625" customWidth="1" style="662" min="5377" max="5388"/>
    <col width="11.1796875" customWidth="1" style="662" min="5389" max="5389"/>
    <col width="9.1796875" customWidth="1" style="662" min="5390" max="5632"/>
    <col width="8.7265625" customWidth="1" style="662" min="5633" max="5644"/>
    <col width="11.1796875" customWidth="1" style="662" min="5645" max="5645"/>
    <col width="9.1796875" customWidth="1" style="662" min="5646" max="5888"/>
    <col width="8.7265625" customWidth="1" style="662" min="5889" max="5900"/>
    <col width="11.1796875" customWidth="1" style="662" min="5901" max="5901"/>
    <col width="9.1796875" customWidth="1" style="662" min="5902" max="6144"/>
    <col width="8.7265625" customWidth="1" style="662" min="6145" max="6156"/>
    <col width="11.1796875" customWidth="1" style="662" min="6157" max="6157"/>
    <col width="9.1796875" customWidth="1" style="662" min="6158" max="6400"/>
    <col width="8.7265625" customWidth="1" style="662" min="6401" max="6412"/>
    <col width="11.1796875" customWidth="1" style="662" min="6413" max="6413"/>
    <col width="9.1796875" customWidth="1" style="662" min="6414" max="6656"/>
    <col width="8.7265625" customWidth="1" style="662" min="6657" max="6668"/>
    <col width="11.1796875" customWidth="1" style="662" min="6669" max="6669"/>
    <col width="9.1796875" customWidth="1" style="662" min="6670" max="6912"/>
    <col width="8.7265625" customWidth="1" style="662" min="6913" max="6924"/>
    <col width="11.1796875" customWidth="1" style="662" min="6925" max="6925"/>
    <col width="9.1796875" customWidth="1" style="662" min="6926" max="7168"/>
    <col width="8.7265625" customWidth="1" style="662" min="7169" max="7180"/>
    <col width="11.1796875" customWidth="1" style="662" min="7181" max="7181"/>
    <col width="9.1796875" customWidth="1" style="662" min="7182" max="7424"/>
    <col width="8.7265625" customWidth="1" style="662" min="7425" max="7436"/>
    <col width="11.1796875" customWidth="1" style="662" min="7437" max="7437"/>
    <col width="9.1796875" customWidth="1" style="662" min="7438" max="7680"/>
    <col width="8.7265625" customWidth="1" style="662" min="7681" max="7692"/>
    <col width="11.1796875" customWidth="1" style="662" min="7693" max="7693"/>
    <col width="9.1796875" customWidth="1" style="662" min="7694" max="7936"/>
    <col width="8.7265625" customWidth="1" style="662" min="7937" max="7948"/>
    <col width="11.1796875" customWidth="1" style="662" min="7949" max="7949"/>
    <col width="9.1796875" customWidth="1" style="662" min="7950" max="8192"/>
    <col width="8.7265625" customWidth="1" style="662" min="8193" max="8204"/>
    <col width="11.1796875" customWidth="1" style="662" min="8205" max="8205"/>
    <col width="9.1796875" customWidth="1" style="662" min="8206" max="8448"/>
    <col width="8.7265625" customWidth="1" style="662" min="8449" max="8460"/>
    <col width="11.1796875" customWidth="1" style="662" min="8461" max="8461"/>
    <col width="9.1796875" customWidth="1" style="662" min="8462" max="8704"/>
    <col width="8.7265625" customWidth="1" style="662" min="8705" max="8716"/>
    <col width="11.1796875" customWidth="1" style="662" min="8717" max="8717"/>
    <col width="9.1796875" customWidth="1" style="662" min="8718" max="8960"/>
    <col width="8.7265625" customWidth="1" style="662" min="8961" max="8972"/>
    <col width="11.1796875" customWidth="1" style="662" min="8973" max="8973"/>
    <col width="9.1796875" customWidth="1" style="662" min="8974" max="9216"/>
    <col width="8.7265625" customWidth="1" style="662" min="9217" max="9228"/>
    <col width="11.1796875" customWidth="1" style="662" min="9229" max="9229"/>
    <col width="9.1796875" customWidth="1" style="662" min="9230" max="9472"/>
    <col width="8.7265625" customWidth="1" style="662" min="9473" max="9484"/>
    <col width="11.1796875" customWidth="1" style="662" min="9485" max="9485"/>
    <col width="9.1796875" customWidth="1" style="662" min="9486" max="9728"/>
    <col width="8.7265625" customWidth="1" style="662" min="9729" max="9740"/>
    <col width="11.1796875" customWidth="1" style="662" min="9741" max="9741"/>
    <col width="9.1796875" customWidth="1" style="662" min="9742" max="9984"/>
    <col width="8.7265625" customWidth="1" style="662" min="9985" max="9996"/>
    <col width="11.1796875" customWidth="1" style="662" min="9997" max="9997"/>
    <col width="9.1796875" customWidth="1" style="662" min="9998" max="10240"/>
    <col width="8.7265625" customWidth="1" style="662" min="10241" max="10252"/>
    <col width="11.1796875" customWidth="1" style="662" min="10253" max="10253"/>
    <col width="9.1796875" customWidth="1" style="662" min="10254" max="10496"/>
    <col width="8.7265625" customWidth="1" style="662" min="10497" max="10508"/>
    <col width="11.1796875" customWidth="1" style="662" min="10509" max="10509"/>
    <col width="9.1796875" customWidth="1" style="662" min="10510" max="10752"/>
    <col width="8.7265625" customWidth="1" style="662" min="10753" max="10764"/>
    <col width="11.1796875" customWidth="1" style="662" min="10765" max="10765"/>
    <col width="9.1796875" customWidth="1" style="662" min="10766" max="11008"/>
    <col width="8.7265625" customWidth="1" style="662" min="11009" max="11020"/>
    <col width="11.1796875" customWidth="1" style="662" min="11021" max="11021"/>
    <col width="9.1796875" customWidth="1" style="662" min="11022" max="11264"/>
    <col width="8.7265625" customWidth="1" style="662" min="11265" max="11276"/>
    <col width="11.1796875" customWidth="1" style="662" min="11277" max="11277"/>
    <col width="9.1796875" customWidth="1" style="662" min="11278" max="11520"/>
    <col width="8.7265625" customWidth="1" style="662" min="11521" max="11532"/>
    <col width="11.1796875" customWidth="1" style="662" min="11533" max="11533"/>
    <col width="9.1796875" customWidth="1" style="662" min="11534" max="11776"/>
    <col width="8.7265625" customWidth="1" style="662" min="11777" max="11788"/>
    <col width="11.1796875" customWidth="1" style="662" min="11789" max="11789"/>
    <col width="9.1796875" customWidth="1" style="662" min="11790" max="12032"/>
    <col width="8.7265625" customWidth="1" style="662" min="12033" max="12044"/>
    <col width="11.1796875" customWidth="1" style="662" min="12045" max="12045"/>
    <col width="9.1796875" customWidth="1" style="662" min="12046" max="12288"/>
    <col width="8.7265625" customWidth="1" style="662" min="12289" max="12300"/>
    <col width="11.1796875" customWidth="1" style="662" min="12301" max="12301"/>
    <col width="9.1796875" customWidth="1" style="662" min="12302" max="12544"/>
    <col width="8.7265625" customWidth="1" style="662" min="12545" max="12556"/>
    <col width="11.1796875" customWidth="1" style="662" min="12557" max="12557"/>
    <col width="9.1796875" customWidth="1" style="662" min="12558" max="12800"/>
    <col width="8.7265625" customWidth="1" style="662" min="12801" max="12812"/>
    <col width="11.1796875" customWidth="1" style="662" min="12813" max="12813"/>
    <col width="9.1796875" customWidth="1" style="662" min="12814" max="13056"/>
    <col width="8.7265625" customWidth="1" style="662" min="13057" max="13068"/>
    <col width="11.1796875" customWidth="1" style="662" min="13069" max="13069"/>
    <col width="9.1796875" customWidth="1" style="662" min="13070" max="13312"/>
    <col width="8.7265625" customWidth="1" style="662" min="13313" max="13324"/>
    <col width="11.1796875" customWidth="1" style="662" min="13325" max="13325"/>
    <col width="9.1796875" customWidth="1" style="662" min="13326" max="13568"/>
    <col width="8.7265625" customWidth="1" style="662" min="13569" max="13580"/>
    <col width="11.1796875" customWidth="1" style="662" min="13581" max="13581"/>
    <col width="9.1796875" customWidth="1" style="662" min="13582" max="13824"/>
    <col width="8.7265625" customWidth="1" style="662" min="13825" max="13836"/>
    <col width="11.1796875" customWidth="1" style="662" min="13837" max="13837"/>
    <col width="9.1796875" customWidth="1" style="662" min="13838" max="14080"/>
    <col width="8.7265625" customWidth="1" style="662" min="14081" max="14092"/>
    <col width="11.1796875" customWidth="1" style="662" min="14093" max="14093"/>
    <col width="9.1796875" customWidth="1" style="662" min="14094" max="14336"/>
    <col width="8.7265625" customWidth="1" style="662" min="14337" max="14348"/>
    <col width="11.1796875" customWidth="1" style="662" min="14349" max="14349"/>
    <col width="9.1796875" customWidth="1" style="662" min="14350" max="14592"/>
    <col width="8.7265625" customWidth="1" style="662" min="14593" max="14604"/>
    <col width="11.1796875" customWidth="1" style="662" min="14605" max="14605"/>
    <col width="9.1796875" customWidth="1" style="662" min="14606" max="14848"/>
    <col width="8.7265625" customWidth="1" style="662" min="14849" max="14860"/>
    <col width="11.1796875" customWidth="1" style="662" min="14861" max="14861"/>
    <col width="9.1796875" customWidth="1" style="662" min="14862" max="15104"/>
    <col width="8.7265625" customWidth="1" style="662" min="15105" max="15116"/>
    <col width="11.1796875" customWidth="1" style="662" min="15117" max="15117"/>
    <col width="9.1796875" customWidth="1" style="662" min="15118" max="15360"/>
    <col width="8.7265625" customWidth="1" style="662" min="15361" max="15372"/>
    <col width="11.1796875" customWidth="1" style="662" min="15373" max="15373"/>
    <col width="9.1796875" customWidth="1" style="662" min="15374" max="15616"/>
    <col width="8.7265625" customWidth="1" style="662" min="15617" max="15628"/>
    <col width="11.1796875" customWidth="1" style="662" min="15629" max="15629"/>
    <col width="9.1796875" customWidth="1" style="662" min="15630" max="15872"/>
    <col width="8.7265625" customWidth="1" style="662" min="15873" max="15884"/>
    <col width="11.1796875" customWidth="1" style="662" min="15885" max="15885"/>
    <col width="9.1796875" customWidth="1" style="662" min="15886" max="16128"/>
    <col width="8.7265625" customWidth="1" style="662" min="16129" max="16140"/>
    <col width="11.1796875" customWidth="1" style="662" min="16141" max="16141"/>
    <col width="9.1796875" customWidth="1" style="662" min="16142" max="16384"/>
  </cols>
  <sheetData>
    <row r="1" ht="50.25" customHeight="1">
      <c r="A1" s="916" t="inlineStr">
        <is>
          <t>MPCI</t>
        </is>
      </c>
      <c r="B1" s="714" t="inlineStr">
        <is>
          <t>FEEDER LOG</t>
        </is>
      </c>
      <c r="C1" s="437" t="n"/>
      <c r="D1" s="437" t="n"/>
      <c r="E1" s="630" t="inlineStr">
        <is>
          <t>DOC:        FRM-104</t>
        </is>
      </c>
      <c r="F1" s="558" t="inlineStr">
        <is>
          <t>REVISION LEVEL: 011</t>
        </is>
      </c>
      <c r="G1" s="856" t="n"/>
      <c r="H1" s="856" t="n"/>
      <c r="I1" s="857" t="n"/>
      <c r="J1" s="560" t="inlineStr">
        <is>
          <t>ISSUE DATE: 9/30/19</t>
        </is>
      </c>
      <c r="K1" s="856" t="n"/>
      <c r="L1" s="857" t="n"/>
      <c r="M1" s="179" t="n"/>
      <c r="T1" s="46" t="n"/>
      <c r="U1" s="46" t="n"/>
      <c r="V1" s="46" t="n"/>
      <c r="W1" s="46" t="n"/>
      <c r="X1" s="46" t="n"/>
      <c r="Y1" s="46" t="n"/>
      <c r="Z1" s="46" t="n"/>
      <c r="AA1" s="46" t="n"/>
      <c r="AB1" s="46" t="n"/>
      <c r="AC1" s="46" t="n"/>
      <c r="AD1" s="46" t="n"/>
      <c r="AE1" s="46" t="n"/>
      <c r="AF1" s="46" t="n"/>
      <c r="AG1" s="46" t="n"/>
      <c r="AH1" s="46" t="n"/>
      <c r="AI1" s="46" t="n"/>
      <c r="AJ1" s="46" t="n"/>
      <c r="AK1" s="46" t="n"/>
      <c r="AL1" s="46" t="n"/>
      <c r="AM1" s="46" t="n"/>
      <c r="AN1" s="46" t="n"/>
      <c r="AO1" s="46" t="n"/>
      <c r="AP1" s="46" t="n"/>
      <c r="AQ1" s="46" t="n"/>
      <c r="AR1" s="46" t="n"/>
      <c r="AS1" s="46" t="n"/>
      <c r="AT1" s="46" t="n"/>
      <c r="AU1" s="46" t="n"/>
      <c r="AV1" s="46" t="n"/>
      <c r="AW1" s="46" t="n"/>
      <c r="AX1" s="46" t="n"/>
      <c r="AY1" s="46" t="n"/>
      <c r="AZ1" s="46" t="n"/>
      <c r="BA1" s="46" t="n"/>
      <c r="BB1" s="46" t="n"/>
      <c r="BC1" s="46" t="n"/>
      <c r="BD1" s="46" t="n"/>
      <c r="BE1" s="46" t="n"/>
      <c r="BF1" s="46" t="n"/>
      <c r="BG1" s="46" t="n"/>
      <c r="BH1" s="46" t="n"/>
      <c r="BI1" s="46" t="n"/>
      <c r="BJ1" s="46" t="n"/>
      <c r="BK1" s="46" t="n"/>
      <c r="BL1" s="46" t="n"/>
      <c r="BM1" s="46" t="n"/>
      <c r="BN1" s="46" t="n"/>
      <c r="BO1" s="46" t="n"/>
      <c r="BP1" s="46" t="n"/>
      <c r="BR1" s="46" t="n"/>
      <c r="BS1" s="46" t="n"/>
      <c r="BT1" s="46" t="n"/>
      <c r="BU1" s="46" t="n"/>
      <c r="BV1" s="46" t="n"/>
      <c r="BW1" s="46" t="n"/>
      <c r="BX1" s="46" t="n"/>
      <c r="BY1" s="46" t="n"/>
      <c r="BZ1" s="46" t="n"/>
      <c r="CA1" s="46" t="n"/>
      <c r="CB1" s="46" t="n"/>
      <c r="CC1" s="46" t="n"/>
      <c r="CD1" s="46" t="n"/>
      <c r="CE1" s="46" t="n"/>
    </row>
    <row r="2" ht="30" customHeight="1">
      <c r="A2" s="846" t="n"/>
      <c r="B2" s="917" t="inlineStr">
        <is>
          <t>Form Reviewed by: Quality Coordinator</t>
        </is>
      </c>
      <c r="C2" s="856" t="n"/>
      <c r="D2" s="857" t="n"/>
      <c r="E2" s="558" t="inlineStr">
        <is>
          <t>Form Approved by: Site Manager</t>
        </is>
      </c>
      <c r="F2" s="857" t="n"/>
      <c r="G2" s="558" t="inlineStr">
        <is>
          <t>Reference:  Feeder Operation PRO-010;                                           Process Step # 4 "Feeding"</t>
        </is>
      </c>
      <c r="H2" s="856" t="n"/>
      <c r="I2" s="856" t="n"/>
      <c r="J2" s="856" t="n"/>
      <c r="K2" s="856" t="n"/>
      <c r="L2" s="857" t="n"/>
      <c r="M2" s="179" t="n"/>
      <c r="N2" s="258" t="n"/>
      <c r="O2" s="258" t="n"/>
      <c r="T2" s="46" t="n"/>
      <c r="U2" s="46" t="n"/>
      <c r="V2" s="46" t="n"/>
      <c r="W2" s="46" t="n"/>
      <c r="X2" s="46" t="n"/>
      <c r="Y2" s="46" t="n"/>
      <c r="Z2" s="46" t="n"/>
      <c r="AA2" s="46" t="n"/>
      <c r="AB2" s="46" t="n"/>
      <c r="AC2" s="46" t="n"/>
      <c r="AD2" s="46" t="n"/>
      <c r="AE2" s="46" t="n"/>
      <c r="AF2" s="46" t="n"/>
      <c r="AG2" s="46" t="n"/>
      <c r="AH2" s="46" t="n"/>
      <c r="AI2" s="46" t="n"/>
      <c r="AJ2" s="46" t="n"/>
      <c r="AK2" s="46" t="n"/>
      <c r="AL2" s="46" t="n"/>
      <c r="AM2" s="46" t="n"/>
      <c r="AN2" s="46" t="n"/>
      <c r="AO2" s="46" t="n"/>
      <c r="AP2" s="46" t="n"/>
      <c r="AQ2" s="46" t="n"/>
      <c r="AR2" s="46" t="n"/>
      <c r="AS2" s="46" t="n"/>
      <c r="AT2" s="46" t="n"/>
      <c r="AU2" s="46" t="n"/>
      <c r="AV2" s="46" t="n"/>
      <c r="AW2" s="46" t="n"/>
      <c r="AX2" s="46" t="n"/>
      <c r="AY2" s="46" t="n"/>
      <c r="AZ2" s="46" t="n"/>
      <c r="BA2" s="46" t="n"/>
      <c r="BB2" s="46" t="n"/>
      <c r="BC2" s="46" t="n"/>
      <c r="BD2" s="46" t="n"/>
      <c r="BE2" s="46" t="n"/>
      <c r="BF2" s="46" t="n"/>
      <c r="BG2" s="46" t="n"/>
      <c r="BH2" s="46" t="n"/>
      <c r="BI2" s="46" t="n"/>
      <c r="BJ2" s="46" t="n"/>
      <c r="BK2" s="46" t="n"/>
      <c r="BL2" s="46" t="n"/>
      <c r="BM2" s="46" t="n"/>
      <c r="BN2" s="46" t="n"/>
      <c r="BO2" s="46" t="n"/>
      <c r="BP2" s="46" t="n"/>
      <c r="BR2" s="47" t="n"/>
      <c r="BS2" s="47" t="n"/>
      <c r="BT2" s="47" t="n"/>
      <c r="BU2" s="47" t="n"/>
      <c r="BV2" s="47" t="n"/>
      <c r="BW2" s="47" t="n"/>
      <c r="BX2" s="47" t="n"/>
      <c r="BY2" s="47" t="n"/>
      <c r="BZ2" s="47" t="n"/>
      <c r="CA2" s="47" t="n"/>
      <c r="CB2" s="47" t="n"/>
      <c r="CC2" s="47" t="n"/>
      <c r="CD2" s="47" t="n"/>
      <c r="CE2" s="47" t="n"/>
    </row>
    <row r="3" ht="7.5" customHeight="1">
      <c r="J3" s="653" t="n"/>
      <c r="K3" s="653" t="n"/>
      <c r="L3" s="653" t="n"/>
    </row>
    <row r="4" ht="24" customFormat="1" customHeight="1" s="248">
      <c r="A4" s="918" t="inlineStr">
        <is>
          <t>RAW MATERIAL:</t>
        </is>
      </c>
      <c r="B4" s="857" t="n"/>
      <c r="C4" s="743">
        <f>PACKET!G7</f>
        <v/>
      </c>
      <c r="D4" s="856" t="n"/>
      <c r="E4" s="856" t="n"/>
      <c r="F4" s="856" t="n"/>
      <c r="G4" s="856" t="n"/>
      <c r="H4" s="919" t="inlineStr">
        <is>
          <t>JOB NUMBER:</t>
        </is>
      </c>
      <c r="I4" s="857" t="n"/>
      <c r="J4" s="920">
        <f>PACKET!C27</f>
        <v/>
      </c>
      <c r="K4" s="856" t="n"/>
      <c r="L4" s="857" t="n"/>
    </row>
    <row r="5" ht="26.25" customFormat="1" customHeight="1" s="248">
      <c r="A5" s="918" t="inlineStr">
        <is>
          <t>LINE NUMBER:</t>
        </is>
      </c>
      <c r="B5" s="857" t="n"/>
      <c r="C5" s="259">
        <f>PACKET!C26</f>
        <v/>
      </c>
      <c r="D5" s="918" t="inlineStr">
        <is>
          <t>FEEDER NUMBER:</t>
        </is>
      </c>
      <c r="E5" s="857" t="n"/>
      <c r="F5" s="920" t="inlineStr">
        <is>
          <t>THREE</t>
        </is>
      </c>
      <c r="G5" s="857" t="n"/>
      <c r="H5" s="919" t="inlineStr">
        <is>
          <t>T.L. APPROVAL:</t>
        </is>
      </c>
      <c r="I5" s="857" t="n"/>
      <c r="J5" s="259">
        <f>PACKET!C5</f>
        <v/>
      </c>
      <c r="K5" s="856" t="n"/>
      <c r="L5" s="857" t="n"/>
    </row>
    <row r="6" ht="9.75" customFormat="1" customHeight="1" s="248">
      <c r="A6" s="260" t="n"/>
      <c r="B6" s="260" t="n"/>
      <c r="C6" s="261" t="n"/>
      <c r="D6" s="260" t="n"/>
      <c r="E6" s="260" t="n"/>
      <c r="F6" s="262" t="n"/>
      <c r="G6" s="170" t="n"/>
      <c r="H6" s="169" t="n"/>
      <c r="I6" s="169" t="n"/>
      <c r="J6" s="263" t="n"/>
      <c r="K6" s="263" t="n"/>
      <c r="L6" s="263" t="n"/>
    </row>
    <row r="7" ht="24" customFormat="1" customHeight="1" s="248">
      <c r="A7" s="263" t="n"/>
      <c r="B7" s="264" t="n"/>
      <c r="C7" s="264" t="n"/>
      <c r="D7" s="263" t="n"/>
      <c r="E7" s="263" t="n"/>
      <c r="F7" s="263" t="n"/>
      <c r="G7" s="263" t="n"/>
      <c r="H7" s="263" t="n"/>
      <c r="I7" s="263" t="n"/>
      <c r="J7" s="264" t="n"/>
      <c r="K7" s="264" t="n"/>
      <c r="L7" s="264" t="n"/>
    </row>
    <row r="8" ht="15" customFormat="1" customHeight="1" s="248">
      <c r="A8" s="720" t="inlineStr">
        <is>
          <t>BOX, CRATE, SS, AND BOWL MATERIAL</t>
        </is>
      </c>
      <c r="B8" s="856" t="n"/>
      <c r="C8" s="856" t="n"/>
      <c r="D8" s="856" t="n"/>
      <c r="E8" s="856" t="n"/>
      <c r="F8" s="921" t="inlineStr">
        <is>
          <t>RAILCAR MATERIAL</t>
        </is>
      </c>
      <c r="G8" s="856" t="n"/>
      <c r="H8" s="856" t="n"/>
      <c r="I8" s="856" t="n"/>
      <c r="J8" s="856" t="n"/>
      <c r="K8" s="856" t="n"/>
      <c r="L8" s="857" t="n"/>
    </row>
    <row r="9" ht="15" customFormat="1" customHeight="1" s="248">
      <c r="A9" s="922" t="inlineStr">
        <is>
          <t xml:space="preserve">Throughout job, from beginning to end; record Team, Date, R #  for every Receiver of material loaded. Load material in FIFO order. When consuming multiple packages of the same receiver, only one entry is required per shift.  For Blends record every bowl number loaded. No 2nd check is necessary. </t>
        </is>
      </c>
      <c r="B9" s="437" t="n"/>
      <c r="C9" s="437" t="n"/>
      <c r="D9" s="437" t="n"/>
      <c r="E9" s="859" t="n"/>
      <c r="F9" s="923" t="inlineStr">
        <is>
          <t>When using material out of a railcar, use the Event Log to track the railcar usage. Record all other material usage on this form.</t>
        </is>
      </c>
      <c r="G9" s="437" t="n"/>
      <c r="H9" s="437" t="n"/>
      <c r="I9" s="437" t="n"/>
      <c r="J9" s="437" t="n"/>
      <c r="K9" s="437" t="n"/>
      <c r="L9" s="859" t="n"/>
    </row>
    <row r="10" ht="15" customFormat="1" customHeight="1" s="248">
      <c r="A10" s="854" t="n"/>
      <c r="E10" s="528" t="n"/>
      <c r="F10" s="474" t="n"/>
      <c r="G10" s="441" t="n"/>
      <c r="H10" s="441" t="n"/>
      <c r="I10" s="441" t="n"/>
      <c r="J10" s="441" t="n"/>
      <c r="K10" s="441" t="n"/>
      <c r="L10" s="442" t="n"/>
    </row>
    <row r="11" ht="15" customFormat="1" customHeight="1" s="248">
      <c r="A11" s="474" t="n"/>
      <c r="B11" s="441" t="n"/>
      <c r="C11" s="441" t="n"/>
      <c r="D11" s="441" t="n"/>
      <c r="E11" s="442" t="n"/>
      <c r="F11" s="923" t="inlineStr">
        <is>
          <t>At start of job; record  Car #, Comp, and R #. On the Event Log  .  The 2nd check will be completed on the Changeover Checklist.</t>
        </is>
      </c>
      <c r="G11" s="437" t="n"/>
      <c r="H11" s="437" t="n"/>
      <c r="I11" s="437" t="n"/>
      <c r="J11" s="437" t="n"/>
      <c r="K11" s="437" t="n"/>
      <c r="L11" s="859" t="n"/>
    </row>
    <row r="12" ht="15" customFormat="1" customHeight="1" s="248">
      <c r="A12" s="924" t="inlineStr">
        <is>
          <t>MISCELLANEOUS</t>
        </is>
      </c>
      <c r="B12" s="856" t="n"/>
      <c r="C12" s="856" t="n"/>
      <c r="D12" s="856" t="n"/>
      <c r="E12" s="857" t="n"/>
      <c r="F12" s="474" t="n"/>
      <c r="G12" s="441" t="n"/>
      <c r="H12" s="441" t="n"/>
      <c r="I12" s="441" t="n"/>
      <c r="J12" s="441" t="n"/>
      <c r="K12" s="441" t="n"/>
      <c r="L12" s="442" t="n"/>
    </row>
    <row r="13" ht="15" customFormat="1" customHeight="1" s="248">
      <c r="A13" s="925" t="inlineStr">
        <is>
          <t>Contact Supervision if another Feeder Log is needed!</t>
        </is>
      </c>
      <c r="B13" s="437" t="n"/>
      <c r="C13" s="437" t="n"/>
      <c r="D13" s="437" t="n"/>
      <c r="E13" s="859" t="n"/>
      <c r="F13" s="923" t="inlineStr">
        <is>
          <t>During the job; at the start of each shift, double-check that the correct railcar is being used. Ensure that the correct information of Car #, Comp and R # is recorded on the Event Log.  This must be completed within the first 60 minutes of taking the floor.</t>
        </is>
      </c>
      <c r="G13" s="437" t="n"/>
      <c r="H13" s="437" t="n"/>
      <c r="I13" s="437" t="n"/>
      <c r="J13" s="437" t="n"/>
      <c r="K13" s="437" t="n"/>
      <c r="L13" s="859" t="n"/>
    </row>
    <row r="14" ht="15" customFormat="1" customHeight="1" s="248">
      <c r="A14" s="474" t="n"/>
      <c r="B14" s="441" t="n"/>
      <c r="C14" s="441" t="n"/>
      <c r="D14" s="441" t="n"/>
      <c r="E14" s="442" t="n"/>
      <c r="F14" s="854" t="n"/>
      <c r="L14" s="528" t="n"/>
    </row>
    <row r="15" ht="15" customFormat="1" customHeight="1" s="248">
      <c r="A15" s="926" t="inlineStr">
        <is>
          <t xml:space="preserve">Remember                                                                           That all Mezzanine material loaded                                              must match each individual feeder log                                             Feeder # 8,                                                                        Notify labs (QC and Color) when changing out blends during a production run </t>
        </is>
      </c>
      <c r="B15" s="437" t="n"/>
      <c r="C15" s="437" t="n"/>
      <c r="D15" s="437" t="n"/>
      <c r="E15" s="859" t="n"/>
      <c r="F15" s="474" t="n"/>
      <c r="G15" s="441" t="n"/>
      <c r="H15" s="441" t="n"/>
      <c r="I15" s="441" t="n"/>
      <c r="J15" s="441" t="n"/>
      <c r="K15" s="441" t="n"/>
      <c r="L15" s="442" t="n"/>
    </row>
    <row r="16" ht="15" customFormat="1" customHeight="1" s="248">
      <c r="A16" s="854" t="n"/>
      <c r="E16" s="528" t="n"/>
      <c r="F16" s="927" t="inlineStr">
        <is>
          <t>During the job; after switching a compartment or railcar, record Car #, Comp.,R #, totalizer value for that feeder and time of the new compartment or railcar on the Event Log.  Have another employee double-check that the switch is correct.  That employee is to initial in the Double Check column.  This must be completed within 60 minutes of the switch.</t>
        </is>
      </c>
      <c r="G16" s="437" t="n"/>
      <c r="H16" s="437" t="n"/>
      <c r="I16" s="437" t="n"/>
      <c r="J16" s="437" t="n"/>
      <c r="K16" s="437" t="n"/>
      <c r="L16" s="859" t="n"/>
    </row>
    <row r="17" ht="15" customFormat="1" customHeight="1" s="248">
      <c r="A17" s="854" t="n"/>
      <c r="E17" s="528" t="n"/>
      <c r="F17" s="854" t="n"/>
      <c r="L17" s="528" t="n"/>
    </row>
    <row r="18" ht="27.75" customFormat="1" customHeight="1" s="248">
      <c r="A18" s="474" t="n"/>
      <c r="B18" s="441" t="n"/>
      <c r="C18" s="441" t="n"/>
      <c r="D18" s="441" t="n"/>
      <c r="E18" s="442" t="n"/>
      <c r="F18" s="854" t="n"/>
      <c r="L18" s="528" t="n"/>
    </row>
    <row r="19" ht="30" customFormat="1" customHeight="1" s="248">
      <c r="A19" s="265" t="inlineStr">
        <is>
          <t>Staged Receiver Numbers for the Job</t>
        </is>
      </c>
      <c r="B19" s="266" t="n"/>
      <c r="C19" s="266" t="n"/>
      <c r="D19" s="266" t="n"/>
      <c r="E19" s="267" t="n"/>
      <c r="F19" s="267" t="n"/>
      <c r="G19" s="585" t="inlineStr">
        <is>
          <t>Type:     Box/Crate          R/C            Blend        Supersack</t>
        </is>
      </c>
      <c r="H19" s="267" t="n"/>
      <c r="I19" s="267" t="n"/>
      <c r="J19" s="267" t="n"/>
      <c r="K19" s="267" t="n"/>
      <c r="L19" s="586" t="n"/>
    </row>
    <row r="20">
      <c r="A20" s="928" t="n"/>
      <c r="B20" s="859" t="n"/>
      <c r="C20" s="928" t="n"/>
      <c r="D20" s="859" t="n"/>
      <c r="E20" s="929" t="n"/>
      <c r="F20" s="437" t="n"/>
      <c r="G20" s="930" t="n"/>
      <c r="H20" s="528" t="n"/>
      <c r="I20" s="931" t="n"/>
      <c r="J20" s="528" t="n"/>
      <c r="K20" s="931" t="n"/>
      <c r="L20" s="528" t="n"/>
    </row>
    <row r="21">
      <c r="A21" s="474" t="n"/>
      <c r="B21" s="442" t="n"/>
      <c r="C21" s="474" t="n"/>
      <c r="D21" s="442" t="n"/>
      <c r="E21" s="474" t="n"/>
      <c r="F21" s="441" t="n"/>
      <c r="G21" s="932" t="n"/>
      <c r="H21" s="442" t="n"/>
      <c r="I21" s="474" t="n"/>
      <c r="J21" s="442" t="n"/>
      <c r="K21" s="474" t="n"/>
      <c r="L21" s="442" t="n"/>
    </row>
    <row r="22" ht="0.75" customHeight="1">
      <c r="A22" s="928" t="inlineStr">
        <is>
          <t xml:space="preserve"> </t>
        </is>
      </c>
      <c r="B22" s="859" t="n"/>
      <c r="C22" s="928" t="inlineStr">
        <is>
          <t xml:space="preserve"> </t>
        </is>
      </c>
      <c r="D22" s="859" t="n"/>
      <c r="E22" s="929" t="inlineStr">
        <is>
          <t xml:space="preserve"> </t>
        </is>
      </c>
      <c r="F22" s="437" t="n"/>
      <c r="G22" s="933" t="inlineStr">
        <is>
          <t xml:space="preserve"> </t>
        </is>
      </c>
      <c r="H22" s="859" t="n"/>
      <c r="I22" s="928" t="inlineStr">
        <is>
          <t xml:space="preserve"> </t>
        </is>
      </c>
      <c r="J22" s="859" t="n"/>
      <c r="K22" s="928" t="inlineStr">
        <is>
          <t xml:space="preserve"> </t>
        </is>
      </c>
      <c r="L22" s="859" t="n"/>
    </row>
    <row r="23" hidden="1">
      <c r="A23" s="474" t="n"/>
      <c r="B23" s="442" t="n"/>
      <c r="C23" s="474" t="n"/>
      <c r="D23" s="442" t="n"/>
      <c r="E23" s="474" t="n"/>
      <c r="F23" s="441" t="n"/>
      <c r="G23" s="932" t="n"/>
      <c r="H23" s="442" t="n"/>
      <c r="I23" s="474" t="n"/>
      <c r="J23" s="442" t="n"/>
      <c r="K23" s="474" t="n"/>
      <c r="L23" s="442" t="n"/>
    </row>
    <row r="24" ht="12.75" customHeight="1">
      <c r="A24" s="934" t="inlineStr">
        <is>
          <t>Team / Date</t>
        </is>
      </c>
      <c r="B24" s="859" t="n"/>
      <c r="C24" s="935" t="inlineStr">
        <is>
          <t>Time/initials</t>
        </is>
      </c>
      <c r="D24" s="859" t="n"/>
      <c r="E24" s="936" t="inlineStr">
        <is>
          <t>R# / Bowl #</t>
        </is>
      </c>
      <c r="F24" s="859" t="n"/>
      <c r="G24" s="934" t="inlineStr">
        <is>
          <t>Team / Date</t>
        </is>
      </c>
      <c r="H24" s="859" t="n"/>
      <c r="I24" s="935" t="inlineStr">
        <is>
          <t>Time/initials</t>
        </is>
      </c>
      <c r="J24" s="859" t="n"/>
      <c r="K24" s="936" t="inlineStr">
        <is>
          <t>R# / Bowl #</t>
        </is>
      </c>
      <c r="L24" s="859" t="n"/>
    </row>
    <row r="25" ht="12.75" customHeight="1">
      <c r="A25" s="932" t="n"/>
      <c r="B25" s="442" t="n"/>
      <c r="C25" s="474" t="n"/>
      <c r="D25" s="442" t="n"/>
      <c r="E25" s="474" t="n"/>
      <c r="F25" s="442" t="n"/>
      <c r="G25" s="932" t="n"/>
      <c r="H25" s="442" t="n"/>
      <c r="I25" s="474" t="n"/>
      <c r="J25" s="442" t="n"/>
      <c r="K25" s="474" t="n"/>
      <c r="L25" s="442" t="n"/>
    </row>
    <row r="26">
      <c r="A26" s="928" t="inlineStr">
        <is>
          <t xml:space="preserve"> </t>
        </is>
      </c>
      <c r="B26" s="859" t="n"/>
      <c r="C26" s="928" t="inlineStr">
        <is>
          <t xml:space="preserve"> </t>
        </is>
      </c>
      <c r="D26" s="859" t="n"/>
      <c r="E26" s="929" t="inlineStr">
        <is>
          <t xml:space="preserve"> </t>
        </is>
      </c>
      <c r="F26" s="437" t="n"/>
      <c r="G26" s="933" t="inlineStr">
        <is>
          <t xml:space="preserve"> </t>
        </is>
      </c>
      <c r="H26" s="859" t="n"/>
      <c r="I26" s="928" t="inlineStr">
        <is>
          <t xml:space="preserve"> </t>
        </is>
      </c>
      <c r="J26" s="859" t="n"/>
      <c r="K26" s="928" t="inlineStr">
        <is>
          <t xml:space="preserve"> </t>
        </is>
      </c>
      <c r="L26" s="859" t="n"/>
    </row>
    <row r="27">
      <c r="A27" s="474" t="n"/>
      <c r="B27" s="442" t="n"/>
      <c r="C27" s="474" t="n"/>
      <c r="D27" s="442" t="n"/>
      <c r="E27" s="474" t="n"/>
      <c r="F27" s="441" t="n"/>
      <c r="G27" s="932" t="n"/>
      <c r="H27" s="442" t="n"/>
      <c r="I27" s="474" t="n"/>
      <c r="J27" s="442" t="n"/>
      <c r="K27" s="474" t="n"/>
      <c r="L27" s="442" t="n"/>
    </row>
    <row r="28">
      <c r="A28" s="928" t="inlineStr">
        <is>
          <t xml:space="preserve"> </t>
        </is>
      </c>
      <c r="B28" s="859" t="n"/>
      <c r="C28" s="928" t="inlineStr">
        <is>
          <t xml:space="preserve"> </t>
        </is>
      </c>
      <c r="D28" s="859" t="n"/>
      <c r="E28" s="929" t="inlineStr">
        <is>
          <t xml:space="preserve"> </t>
        </is>
      </c>
      <c r="F28" s="437" t="n"/>
      <c r="G28" s="933" t="inlineStr">
        <is>
          <t xml:space="preserve"> </t>
        </is>
      </c>
      <c r="H28" s="859" t="n"/>
      <c r="I28" s="928" t="inlineStr">
        <is>
          <t xml:space="preserve"> </t>
        </is>
      </c>
      <c r="J28" s="859" t="n"/>
      <c r="K28" s="928" t="inlineStr">
        <is>
          <t xml:space="preserve"> </t>
        </is>
      </c>
      <c r="L28" s="859" t="n"/>
    </row>
    <row r="29">
      <c r="A29" s="474" t="n"/>
      <c r="B29" s="442" t="n"/>
      <c r="C29" s="474" t="n"/>
      <c r="D29" s="442" t="n"/>
      <c r="E29" s="474" t="n"/>
      <c r="F29" s="441" t="n"/>
      <c r="G29" s="932" t="n"/>
      <c r="H29" s="442" t="n"/>
      <c r="I29" s="474" t="n"/>
      <c r="J29" s="442" t="n"/>
      <c r="K29" s="474" t="n"/>
      <c r="L29" s="442" t="n"/>
    </row>
    <row r="30">
      <c r="A30" s="928" t="inlineStr">
        <is>
          <t xml:space="preserve"> </t>
        </is>
      </c>
      <c r="B30" s="859" t="n"/>
      <c r="C30" s="928" t="inlineStr">
        <is>
          <t xml:space="preserve"> </t>
        </is>
      </c>
      <c r="D30" s="859" t="n"/>
      <c r="E30" s="929" t="inlineStr">
        <is>
          <t xml:space="preserve"> </t>
        </is>
      </c>
      <c r="F30" s="437" t="n"/>
      <c r="G30" s="933" t="inlineStr">
        <is>
          <t xml:space="preserve"> </t>
        </is>
      </c>
      <c r="H30" s="859" t="n"/>
      <c r="I30" s="928" t="inlineStr">
        <is>
          <t xml:space="preserve"> </t>
        </is>
      </c>
      <c r="J30" s="859" t="n"/>
      <c r="K30" s="928" t="inlineStr">
        <is>
          <t xml:space="preserve"> </t>
        </is>
      </c>
      <c r="L30" s="859" t="n"/>
    </row>
    <row r="31">
      <c r="A31" s="474" t="n"/>
      <c r="B31" s="442" t="n"/>
      <c r="C31" s="474" t="n"/>
      <c r="D31" s="442" t="n"/>
      <c r="E31" s="474" t="n"/>
      <c r="F31" s="441" t="n"/>
      <c r="G31" s="932" t="n"/>
      <c r="H31" s="442" t="n"/>
      <c r="I31" s="474" t="n"/>
      <c r="J31" s="442" t="n"/>
      <c r="K31" s="474" t="n"/>
      <c r="L31" s="442" t="n"/>
    </row>
    <row r="32">
      <c r="A32" s="928" t="inlineStr">
        <is>
          <t xml:space="preserve"> </t>
        </is>
      </c>
      <c r="B32" s="859" t="n"/>
      <c r="C32" s="928" t="inlineStr">
        <is>
          <t xml:space="preserve"> </t>
        </is>
      </c>
      <c r="D32" s="859" t="n"/>
      <c r="E32" s="929" t="inlineStr">
        <is>
          <t xml:space="preserve"> </t>
        </is>
      </c>
      <c r="F32" s="437" t="n"/>
      <c r="G32" s="933" t="inlineStr">
        <is>
          <t xml:space="preserve"> </t>
        </is>
      </c>
      <c r="H32" s="859" t="n"/>
      <c r="I32" s="928" t="inlineStr">
        <is>
          <t xml:space="preserve"> </t>
        </is>
      </c>
      <c r="J32" s="859" t="n"/>
      <c r="K32" s="928" t="inlineStr">
        <is>
          <t xml:space="preserve"> </t>
        </is>
      </c>
      <c r="L32" s="859" t="n"/>
    </row>
    <row r="33">
      <c r="A33" s="474" t="n"/>
      <c r="B33" s="442" t="n"/>
      <c r="C33" s="474" t="n"/>
      <c r="D33" s="442" t="n"/>
      <c r="E33" s="474" t="n"/>
      <c r="F33" s="441" t="n"/>
      <c r="G33" s="932" t="n"/>
      <c r="H33" s="442" t="n"/>
      <c r="I33" s="474" t="n"/>
      <c r="J33" s="442" t="n"/>
      <c r="K33" s="474" t="n"/>
      <c r="L33" s="442" t="n"/>
    </row>
    <row r="34">
      <c r="A34" s="928" t="inlineStr">
        <is>
          <t xml:space="preserve"> </t>
        </is>
      </c>
      <c r="B34" s="859" t="n"/>
      <c r="C34" s="928" t="inlineStr">
        <is>
          <t xml:space="preserve"> </t>
        </is>
      </c>
      <c r="D34" s="859" t="n"/>
      <c r="E34" s="929" t="inlineStr">
        <is>
          <t xml:space="preserve"> </t>
        </is>
      </c>
      <c r="F34" s="437" t="n"/>
      <c r="G34" s="933" t="inlineStr">
        <is>
          <t xml:space="preserve"> </t>
        </is>
      </c>
      <c r="H34" s="859" t="n"/>
      <c r="I34" s="928" t="inlineStr">
        <is>
          <t xml:space="preserve"> </t>
        </is>
      </c>
      <c r="J34" s="859" t="n"/>
      <c r="K34" s="928" t="inlineStr">
        <is>
          <t xml:space="preserve"> </t>
        </is>
      </c>
      <c r="L34" s="859" t="n"/>
    </row>
    <row r="35">
      <c r="A35" s="474" t="n"/>
      <c r="B35" s="442" t="n"/>
      <c r="C35" s="474" t="n"/>
      <c r="D35" s="442" t="n"/>
      <c r="E35" s="474" t="n"/>
      <c r="F35" s="441" t="n"/>
      <c r="G35" s="932" t="n"/>
      <c r="H35" s="442" t="n"/>
      <c r="I35" s="474" t="n"/>
      <c r="J35" s="442" t="n"/>
      <c r="K35" s="474" t="n"/>
      <c r="L35" s="442" t="n"/>
    </row>
    <row r="36">
      <c r="A36" s="928" t="inlineStr">
        <is>
          <t xml:space="preserve"> </t>
        </is>
      </c>
      <c r="B36" s="859" t="n"/>
      <c r="C36" s="928" t="inlineStr">
        <is>
          <t xml:space="preserve"> </t>
        </is>
      </c>
      <c r="D36" s="859" t="n"/>
      <c r="E36" s="929" t="inlineStr">
        <is>
          <t xml:space="preserve"> </t>
        </is>
      </c>
      <c r="F36" s="437" t="n"/>
      <c r="G36" s="933" t="inlineStr">
        <is>
          <t xml:space="preserve"> </t>
        </is>
      </c>
      <c r="H36" s="859" t="n"/>
      <c r="I36" s="928" t="inlineStr">
        <is>
          <t xml:space="preserve"> </t>
        </is>
      </c>
      <c r="J36" s="859" t="n"/>
      <c r="K36" s="928" t="inlineStr">
        <is>
          <t xml:space="preserve"> </t>
        </is>
      </c>
      <c r="L36" s="859" t="n"/>
    </row>
    <row r="37">
      <c r="A37" s="474" t="n"/>
      <c r="B37" s="442" t="n"/>
      <c r="C37" s="474" t="n"/>
      <c r="D37" s="442" t="n"/>
      <c r="E37" s="474" t="n"/>
      <c r="F37" s="441" t="n"/>
      <c r="G37" s="932" t="n"/>
      <c r="H37" s="442" t="n"/>
      <c r="I37" s="474" t="n"/>
      <c r="J37" s="442" t="n"/>
      <c r="K37" s="474" t="n"/>
      <c r="L37" s="442" t="n"/>
    </row>
    <row r="38">
      <c r="A38" s="928" t="inlineStr">
        <is>
          <t xml:space="preserve"> </t>
        </is>
      </c>
      <c r="B38" s="859" t="n"/>
      <c r="C38" s="928" t="inlineStr">
        <is>
          <t xml:space="preserve"> </t>
        </is>
      </c>
      <c r="D38" s="859" t="n"/>
      <c r="E38" s="929" t="inlineStr">
        <is>
          <t xml:space="preserve"> </t>
        </is>
      </c>
      <c r="F38" s="437" t="n"/>
      <c r="G38" s="933" t="inlineStr">
        <is>
          <t xml:space="preserve"> </t>
        </is>
      </c>
      <c r="H38" s="859" t="n"/>
      <c r="I38" s="928" t="inlineStr">
        <is>
          <t xml:space="preserve"> </t>
        </is>
      </c>
      <c r="J38" s="859" t="n"/>
      <c r="K38" s="928" t="inlineStr">
        <is>
          <t xml:space="preserve"> </t>
        </is>
      </c>
      <c r="L38" s="859" t="n"/>
    </row>
    <row r="39">
      <c r="A39" s="474" t="n"/>
      <c r="B39" s="442" t="n"/>
      <c r="C39" s="474" t="n"/>
      <c r="D39" s="442" t="n"/>
      <c r="E39" s="474" t="n"/>
      <c r="F39" s="441" t="n"/>
      <c r="G39" s="932" t="n"/>
      <c r="H39" s="442" t="n"/>
      <c r="I39" s="474" t="n"/>
      <c r="J39" s="442" t="n"/>
      <c r="K39" s="474" t="n"/>
      <c r="L39" s="442" t="n"/>
    </row>
    <row r="40">
      <c r="A40" s="928" t="inlineStr">
        <is>
          <t xml:space="preserve"> </t>
        </is>
      </c>
      <c r="B40" s="859" t="n"/>
      <c r="C40" s="928" t="inlineStr">
        <is>
          <t xml:space="preserve"> </t>
        </is>
      </c>
      <c r="D40" s="859" t="n"/>
      <c r="E40" s="929" t="inlineStr">
        <is>
          <t xml:space="preserve"> </t>
        </is>
      </c>
      <c r="F40" s="437" t="n"/>
      <c r="G40" s="933" t="inlineStr">
        <is>
          <t xml:space="preserve"> </t>
        </is>
      </c>
      <c r="H40" s="859" t="n"/>
      <c r="I40" s="928" t="inlineStr">
        <is>
          <t xml:space="preserve"> </t>
        </is>
      </c>
      <c r="J40" s="859" t="n"/>
      <c r="K40" s="928" t="inlineStr">
        <is>
          <t xml:space="preserve"> </t>
        </is>
      </c>
      <c r="L40" s="859" t="n"/>
    </row>
    <row r="41">
      <c r="A41" s="474" t="n"/>
      <c r="B41" s="442" t="n"/>
      <c r="C41" s="474" t="n"/>
      <c r="D41" s="442" t="n"/>
      <c r="E41" s="474" t="n"/>
      <c r="F41" s="441" t="n"/>
      <c r="G41" s="932" t="n"/>
      <c r="H41" s="442" t="n"/>
      <c r="I41" s="474" t="n"/>
      <c r="J41" s="442" t="n"/>
      <c r="K41" s="474" t="n"/>
      <c r="L41" s="442" t="n"/>
    </row>
    <row r="42">
      <c r="A42" s="928" t="inlineStr">
        <is>
          <t xml:space="preserve"> </t>
        </is>
      </c>
      <c r="B42" s="859" t="n"/>
      <c r="C42" s="928" t="inlineStr">
        <is>
          <t xml:space="preserve"> </t>
        </is>
      </c>
      <c r="D42" s="859" t="n"/>
      <c r="E42" s="929" t="inlineStr">
        <is>
          <t xml:space="preserve"> </t>
        </is>
      </c>
      <c r="F42" s="437" t="n"/>
      <c r="G42" s="933" t="inlineStr">
        <is>
          <t xml:space="preserve"> </t>
        </is>
      </c>
      <c r="H42" s="859" t="n"/>
      <c r="I42" s="928" t="inlineStr">
        <is>
          <t xml:space="preserve"> </t>
        </is>
      </c>
      <c r="J42" s="859" t="n"/>
      <c r="K42" s="928" t="inlineStr">
        <is>
          <t xml:space="preserve"> </t>
        </is>
      </c>
      <c r="L42" s="859" t="n"/>
    </row>
    <row r="43">
      <c r="A43" s="474" t="n"/>
      <c r="B43" s="442" t="n"/>
      <c r="C43" s="474" t="n"/>
      <c r="D43" s="442" t="n"/>
      <c r="E43" s="474" t="n"/>
      <c r="F43" s="441" t="n"/>
      <c r="G43" s="932" t="n"/>
      <c r="H43" s="442" t="n"/>
      <c r="I43" s="474" t="n"/>
      <c r="J43" s="442" t="n"/>
      <c r="K43" s="474" t="n"/>
      <c r="L43" s="442" t="n"/>
    </row>
    <row r="44">
      <c r="A44" s="928" t="inlineStr">
        <is>
          <t xml:space="preserve"> </t>
        </is>
      </c>
      <c r="B44" s="859" t="n"/>
      <c r="C44" s="928" t="inlineStr">
        <is>
          <t xml:space="preserve"> </t>
        </is>
      </c>
      <c r="D44" s="859" t="n"/>
      <c r="E44" s="929" t="inlineStr">
        <is>
          <t xml:space="preserve"> </t>
        </is>
      </c>
      <c r="F44" s="437" t="n"/>
      <c r="G44" s="933" t="inlineStr">
        <is>
          <t xml:space="preserve"> </t>
        </is>
      </c>
      <c r="H44" s="859" t="n"/>
      <c r="I44" s="928" t="inlineStr">
        <is>
          <t xml:space="preserve"> </t>
        </is>
      </c>
      <c r="J44" s="859" t="n"/>
      <c r="K44" s="928" t="inlineStr">
        <is>
          <t xml:space="preserve"> </t>
        </is>
      </c>
      <c r="L44" s="859" t="n"/>
    </row>
    <row r="45">
      <c r="A45" s="474" t="n"/>
      <c r="B45" s="442" t="n"/>
      <c r="C45" s="474" t="n"/>
      <c r="D45" s="442" t="n"/>
      <c r="E45" s="474" t="n"/>
      <c r="F45" s="441" t="n"/>
      <c r="G45" s="932" t="n"/>
      <c r="H45" s="442" t="n"/>
      <c r="I45" s="474" t="n"/>
      <c r="J45" s="442" t="n"/>
      <c r="K45" s="474" t="n"/>
      <c r="L45" s="442" t="n"/>
    </row>
    <row r="46">
      <c r="A46" s="928" t="inlineStr">
        <is>
          <t xml:space="preserve"> </t>
        </is>
      </c>
      <c r="B46" s="859" t="n"/>
      <c r="C46" s="928" t="inlineStr">
        <is>
          <t xml:space="preserve"> </t>
        </is>
      </c>
      <c r="D46" s="859" t="n"/>
      <c r="E46" s="929" t="inlineStr">
        <is>
          <t xml:space="preserve"> </t>
        </is>
      </c>
      <c r="F46" s="437" t="n"/>
      <c r="G46" s="933" t="inlineStr">
        <is>
          <t xml:space="preserve"> </t>
        </is>
      </c>
      <c r="H46" s="859" t="n"/>
      <c r="I46" s="928" t="inlineStr">
        <is>
          <t xml:space="preserve"> </t>
        </is>
      </c>
      <c r="J46" s="859" t="n"/>
      <c r="K46" s="928" t="inlineStr">
        <is>
          <t xml:space="preserve"> </t>
        </is>
      </c>
      <c r="L46" s="859" t="n"/>
    </row>
    <row r="47">
      <c r="A47" s="474" t="n"/>
      <c r="B47" s="442" t="n"/>
      <c r="C47" s="474" t="n"/>
      <c r="D47" s="442" t="n"/>
      <c r="E47" s="474" t="n"/>
      <c r="F47" s="441" t="n"/>
      <c r="G47" s="932" t="n"/>
      <c r="H47" s="442" t="n"/>
      <c r="I47" s="474" t="n"/>
      <c r="J47" s="442" t="n"/>
      <c r="K47" s="474" t="n"/>
      <c r="L47" s="442" t="n"/>
    </row>
    <row r="48">
      <c r="A48" s="928" t="inlineStr">
        <is>
          <t xml:space="preserve"> </t>
        </is>
      </c>
      <c r="B48" s="859" t="n"/>
      <c r="C48" s="928" t="inlineStr">
        <is>
          <t xml:space="preserve"> </t>
        </is>
      </c>
      <c r="D48" s="859" t="n"/>
      <c r="E48" s="929" t="inlineStr">
        <is>
          <t xml:space="preserve"> </t>
        </is>
      </c>
      <c r="F48" s="437" t="n"/>
      <c r="G48" s="933" t="inlineStr">
        <is>
          <t xml:space="preserve"> </t>
        </is>
      </c>
      <c r="H48" s="859" t="n"/>
      <c r="I48" s="928" t="inlineStr">
        <is>
          <t xml:space="preserve"> </t>
        </is>
      </c>
      <c r="J48" s="859" t="n"/>
      <c r="K48" s="928" t="inlineStr">
        <is>
          <t xml:space="preserve"> </t>
        </is>
      </c>
      <c r="L48" s="859" t="n"/>
    </row>
    <row r="49">
      <c r="A49" s="474" t="n"/>
      <c r="B49" s="442" t="n"/>
      <c r="C49" s="474" t="n"/>
      <c r="D49" s="442" t="n"/>
      <c r="E49" s="474" t="n"/>
      <c r="F49" s="441" t="n"/>
      <c r="G49" s="932" t="n"/>
      <c r="H49" s="442" t="n"/>
      <c r="I49" s="474" t="n"/>
      <c r="J49" s="442" t="n"/>
      <c r="K49" s="474" t="n"/>
      <c r="L49" s="442" t="n"/>
    </row>
    <row r="50">
      <c r="A50" s="928" t="inlineStr">
        <is>
          <t xml:space="preserve"> </t>
        </is>
      </c>
      <c r="B50" s="859" t="n"/>
      <c r="C50" s="928" t="inlineStr">
        <is>
          <t xml:space="preserve"> </t>
        </is>
      </c>
      <c r="D50" s="859" t="n"/>
      <c r="E50" s="929" t="inlineStr">
        <is>
          <t xml:space="preserve"> </t>
        </is>
      </c>
      <c r="F50" s="437" t="n"/>
      <c r="G50" s="933" t="inlineStr">
        <is>
          <t xml:space="preserve"> </t>
        </is>
      </c>
      <c r="H50" s="859" t="n"/>
      <c r="I50" s="928" t="inlineStr">
        <is>
          <t xml:space="preserve"> </t>
        </is>
      </c>
      <c r="J50" s="859" t="n"/>
      <c r="K50" s="928" t="inlineStr">
        <is>
          <t xml:space="preserve"> </t>
        </is>
      </c>
      <c r="L50" s="859" t="n"/>
    </row>
    <row r="51">
      <c r="A51" s="474" t="n"/>
      <c r="B51" s="442" t="n"/>
      <c r="C51" s="474" t="n"/>
      <c r="D51" s="442" t="n"/>
      <c r="E51" s="474" t="n"/>
      <c r="F51" s="441" t="n"/>
      <c r="G51" s="932" t="n"/>
      <c r="H51" s="442" t="n"/>
      <c r="I51" s="474" t="n"/>
      <c r="J51" s="442" t="n"/>
      <c r="K51" s="474" t="n"/>
      <c r="L51" s="442" t="n"/>
    </row>
    <row r="52">
      <c r="A52" s="928" t="inlineStr">
        <is>
          <t xml:space="preserve"> </t>
        </is>
      </c>
      <c r="B52" s="859" t="n"/>
      <c r="C52" s="928" t="inlineStr">
        <is>
          <t xml:space="preserve"> </t>
        </is>
      </c>
      <c r="D52" s="859" t="n"/>
      <c r="E52" s="929" t="inlineStr">
        <is>
          <t xml:space="preserve"> </t>
        </is>
      </c>
      <c r="F52" s="437" t="n"/>
      <c r="G52" s="933" t="inlineStr">
        <is>
          <t xml:space="preserve"> </t>
        </is>
      </c>
      <c r="H52" s="859" t="n"/>
      <c r="I52" s="928" t="inlineStr">
        <is>
          <t xml:space="preserve"> </t>
        </is>
      </c>
      <c r="J52" s="859" t="n"/>
      <c r="K52" s="928" t="inlineStr">
        <is>
          <t xml:space="preserve"> </t>
        </is>
      </c>
      <c r="L52" s="859" t="n"/>
    </row>
    <row r="53">
      <c r="A53" s="474" t="n"/>
      <c r="B53" s="442" t="n"/>
      <c r="C53" s="474" t="n"/>
      <c r="D53" s="442" t="n"/>
      <c r="E53" s="474" t="n"/>
      <c r="F53" s="441" t="n"/>
      <c r="G53" s="932" t="n"/>
      <c r="H53" s="442" t="n"/>
      <c r="I53" s="474" t="n"/>
      <c r="J53" s="442" t="n"/>
      <c r="K53" s="474" t="n"/>
      <c r="L53" s="442" t="n"/>
    </row>
  </sheetData>
  <sheetProtection selectLockedCells="0" selectUnlockedCells="0" sheet="1" objects="1" insertRows="1" insertHyperlinks="1" autoFilter="1" scenarios="1" formatColumns="1" deleteColumns="1" insertColumns="1" pivotTables="1" deleteRows="1" formatCells="1" formatRows="1" sort="1"/>
  <mergeCells count="128">
    <mergeCell ref="A52:B53"/>
    <mergeCell ref="C52:D53"/>
    <mergeCell ref="E52:F53"/>
    <mergeCell ref="G52:H53"/>
    <mergeCell ref="I52:J53"/>
    <mergeCell ref="K52:L53"/>
    <mergeCell ref="A50:B51"/>
    <mergeCell ref="C50:D51"/>
    <mergeCell ref="E50:F51"/>
    <mergeCell ref="G50:H51"/>
    <mergeCell ref="I50:J51"/>
    <mergeCell ref="K50:L51"/>
    <mergeCell ref="A48:B49"/>
    <mergeCell ref="C48:D49"/>
    <mergeCell ref="E48:F49"/>
    <mergeCell ref="G48:H49"/>
    <mergeCell ref="I48:J49"/>
    <mergeCell ref="K48:L49"/>
    <mergeCell ref="A46:B47"/>
    <mergeCell ref="C46:D47"/>
    <mergeCell ref="E46:F47"/>
    <mergeCell ref="G46:H47"/>
    <mergeCell ref="I46:J47"/>
    <mergeCell ref="K46:L47"/>
    <mergeCell ref="A44:B45"/>
    <mergeCell ref="C44:D45"/>
    <mergeCell ref="E44:F45"/>
    <mergeCell ref="G44:H45"/>
    <mergeCell ref="I44:J45"/>
    <mergeCell ref="K44:L45"/>
    <mergeCell ref="A42:B43"/>
    <mergeCell ref="C42:D43"/>
    <mergeCell ref="E42:F43"/>
    <mergeCell ref="G42:H43"/>
    <mergeCell ref="I42:J43"/>
    <mergeCell ref="K42:L43"/>
    <mergeCell ref="A40:B41"/>
    <mergeCell ref="C40:D41"/>
    <mergeCell ref="E40:F41"/>
    <mergeCell ref="G40:H41"/>
    <mergeCell ref="I40:J41"/>
    <mergeCell ref="K40:L41"/>
    <mergeCell ref="A38:B39"/>
    <mergeCell ref="C38:D39"/>
    <mergeCell ref="E38:F39"/>
    <mergeCell ref="G38:H39"/>
    <mergeCell ref="I38:J39"/>
    <mergeCell ref="K38:L39"/>
    <mergeCell ref="A36:B37"/>
    <mergeCell ref="C36:D37"/>
    <mergeCell ref="E36:F37"/>
    <mergeCell ref="G36:H37"/>
    <mergeCell ref="I36:J37"/>
    <mergeCell ref="K36:L37"/>
    <mergeCell ref="A34:B35"/>
    <mergeCell ref="C34:D35"/>
    <mergeCell ref="E34:F35"/>
    <mergeCell ref="G34:H35"/>
    <mergeCell ref="I34:J35"/>
    <mergeCell ref="K34:L35"/>
    <mergeCell ref="A32:B33"/>
    <mergeCell ref="C32:D33"/>
    <mergeCell ref="E32:F33"/>
    <mergeCell ref="G32:H33"/>
    <mergeCell ref="I32:J33"/>
    <mergeCell ref="K32:L33"/>
    <mergeCell ref="A30:B31"/>
    <mergeCell ref="C30:D31"/>
    <mergeCell ref="E30:F31"/>
    <mergeCell ref="G30:H31"/>
    <mergeCell ref="I30:J31"/>
    <mergeCell ref="K30:L31"/>
    <mergeCell ref="A28:B29"/>
    <mergeCell ref="C28:D29"/>
    <mergeCell ref="E28:F29"/>
    <mergeCell ref="G28:H29"/>
    <mergeCell ref="I28:J29"/>
    <mergeCell ref="K28:L29"/>
    <mergeCell ref="A26:B27"/>
    <mergeCell ref="C26:D27"/>
    <mergeCell ref="E26:F27"/>
    <mergeCell ref="G26:H27"/>
    <mergeCell ref="I26:J27"/>
    <mergeCell ref="K26:L27"/>
    <mergeCell ref="A24:B25"/>
    <mergeCell ref="C24:D25"/>
    <mergeCell ref="E24:F25"/>
    <mergeCell ref="G24:H25"/>
    <mergeCell ref="I24:J25"/>
    <mergeCell ref="K24:L25"/>
    <mergeCell ref="A22:B23"/>
    <mergeCell ref="C22:D23"/>
    <mergeCell ref="E22:F23"/>
    <mergeCell ref="G22:H23"/>
    <mergeCell ref="I22:J23"/>
    <mergeCell ref="K22:L23"/>
    <mergeCell ref="A13:E14"/>
    <mergeCell ref="F13:L15"/>
    <mergeCell ref="A15:E18"/>
    <mergeCell ref="F16:L18"/>
    <mergeCell ref="A20:B21"/>
    <mergeCell ref="C20:D21"/>
    <mergeCell ref="E20:F21"/>
    <mergeCell ref="G20:H21"/>
    <mergeCell ref="I20:J21"/>
    <mergeCell ref="K20:L21"/>
    <mergeCell ref="A9:E11"/>
    <mergeCell ref="F9:L10"/>
    <mergeCell ref="F11:L12"/>
    <mergeCell ref="A12:E12"/>
    <mergeCell ref="A4:B4"/>
    <mergeCell ref="C4:G4"/>
    <mergeCell ref="H4:I4"/>
    <mergeCell ref="J4:L4"/>
    <mergeCell ref="A5:B5"/>
    <mergeCell ref="D5:E5"/>
    <mergeCell ref="F5:G5"/>
    <mergeCell ref="H5:I5"/>
    <mergeCell ref="J5:L5"/>
    <mergeCell ref="A1:A2"/>
    <mergeCell ref="B1:D1"/>
    <mergeCell ref="F1:I1"/>
    <mergeCell ref="J1:L1"/>
    <mergeCell ref="B2:D2"/>
    <mergeCell ref="E2:F2"/>
    <mergeCell ref="G2:L2"/>
    <mergeCell ref="A8:E8"/>
    <mergeCell ref="F8:L8"/>
  </mergeCells>
  <pageMargins left="0.33" right="0" top="0.3" bottom="0.3" header="0.25" footer="0.25"/>
  <pageSetup orientation="portrait" scale="89"/>
  <headerFooter alignWithMargins="0">
    <oddHeader/>
    <oddFooter>&amp;LNETWORK ADDRESS:  MPCI data\Forms\_x000a_Production_ Operation forms&amp;C                           &amp;RRETENTION REQUIREMENT:  Maintained with the _x000a_Job Packet for 3 years</oddFooter>
    <evenHeader/>
    <evenFooter/>
    <firstHeader/>
    <firstFooter/>
  </headerFooter>
</worksheet>
</file>

<file path=xl/worksheets/sheet12.xml><?xml version="1.0" encoding="utf-8"?>
<worksheet xmlns="http://schemas.openxmlformats.org/spreadsheetml/2006/main">
  <sheetPr codeName="Sheet14">
    <outlinePr summaryBelow="1" summaryRight="1"/>
    <pageSetUpPr/>
  </sheetPr>
  <dimension ref="A1:CE53"/>
  <sheetViews>
    <sheetView showGridLines="0" view="pageBreakPreview" zoomScaleNormal="100" zoomScaleSheetLayoutView="100" workbookViewId="0">
      <selection activeCell="A1" sqref="A1:A2"/>
    </sheetView>
  </sheetViews>
  <sheetFormatPr baseColWidth="8" defaultRowHeight="12.5"/>
  <cols>
    <col width="8.7265625" customWidth="1" style="662" min="1" max="12"/>
    <col width="11.1796875" customWidth="1" style="662" min="13" max="13"/>
    <col width="9.1796875" customWidth="1" style="662" min="14" max="256"/>
    <col width="8.7265625" customWidth="1" style="662" min="257" max="268"/>
    <col width="11.1796875" customWidth="1" style="662" min="269" max="269"/>
    <col width="9.1796875" customWidth="1" style="662" min="270" max="512"/>
    <col width="8.7265625" customWidth="1" style="662" min="513" max="524"/>
    <col width="11.1796875" customWidth="1" style="662" min="525" max="525"/>
    <col width="9.1796875" customWidth="1" style="662" min="526" max="768"/>
    <col width="8.7265625" customWidth="1" style="662" min="769" max="780"/>
    <col width="11.1796875" customWidth="1" style="662" min="781" max="781"/>
    <col width="9.1796875" customWidth="1" style="662" min="782" max="1024"/>
    <col width="8.7265625" customWidth="1" style="662" min="1025" max="1036"/>
    <col width="11.1796875" customWidth="1" style="662" min="1037" max="1037"/>
    <col width="9.1796875" customWidth="1" style="662" min="1038" max="1280"/>
    <col width="8.7265625" customWidth="1" style="662" min="1281" max="1292"/>
    <col width="11.1796875" customWidth="1" style="662" min="1293" max="1293"/>
    <col width="9.1796875" customWidth="1" style="662" min="1294" max="1536"/>
    <col width="8.7265625" customWidth="1" style="662" min="1537" max="1548"/>
    <col width="11.1796875" customWidth="1" style="662" min="1549" max="1549"/>
    <col width="9.1796875" customWidth="1" style="662" min="1550" max="1792"/>
    <col width="8.7265625" customWidth="1" style="662" min="1793" max="1804"/>
    <col width="11.1796875" customWidth="1" style="662" min="1805" max="1805"/>
    <col width="9.1796875" customWidth="1" style="662" min="1806" max="2048"/>
    <col width="8.7265625" customWidth="1" style="662" min="2049" max="2060"/>
    <col width="11.1796875" customWidth="1" style="662" min="2061" max="2061"/>
    <col width="9.1796875" customWidth="1" style="662" min="2062" max="2304"/>
    <col width="8.7265625" customWidth="1" style="662" min="2305" max="2316"/>
    <col width="11.1796875" customWidth="1" style="662" min="2317" max="2317"/>
    <col width="9.1796875" customWidth="1" style="662" min="2318" max="2560"/>
    <col width="8.7265625" customWidth="1" style="662" min="2561" max="2572"/>
    <col width="11.1796875" customWidth="1" style="662" min="2573" max="2573"/>
    <col width="9.1796875" customWidth="1" style="662" min="2574" max="2816"/>
    <col width="8.7265625" customWidth="1" style="662" min="2817" max="2828"/>
    <col width="11.1796875" customWidth="1" style="662" min="2829" max="2829"/>
    <col width="9.1796875" customWidth="1" style="662" min="2830" max="3072"/>
    <col width="8.7265625" customWidth="1" style="662" min="3073" max="3084"/>
    <col width="11.1796875" customWidth="1" style="662" min="3085" max="3085"/>
    <col width="9.1796875" customWidth="1" style="662" min="3086" max="3328"/>
    <col width="8.7265625" customWidth="1" style="662" min="3329" max="3340"/>
    <col width="11.1796875" customWidth="1" style="662" min="3341" max="3341"/>
    <col width="9.1796875" customWidth="1" style="662" min="3342" max="3584"/>
    <col width="8.7265625" customWidth="1" style="662" min="3585" max="3596"/>
    <col width="11.1796875" customWidth="1" style="662" min="3597" max="3597"/>
    <col width="9.1796875" customWidth="1" style="662" min="3598" max="3840"/>
    <col width="8.7265625" customWidth="1" style="662" min="3841" max="3852"/>
    <col width="11.1796875" customWidth="1" style="662" min="3853" max="3853"/>
    <col width="9.1796875" customWidth="1" style="662" min="3854" max="4096"/>
    <col width="8.7265625" customWidth="1" style="662" min="4097" max="4108"/>
    <col width="11.1796875" customWidth="1" style="662" min="4109" max="4109"/>
    <col width="9.1796875" customWidth="1" style="662" min="4110" max="4352"/>
    <col width="8.7265625" customWidth="1" style="662" min="4353" max="4364"/>
    <col width="11.1796875" customWidth="1" style="662" min="4365" max="4365"/>
    <col width="9.1796875" customWidth="1" style="662" min="4366" max="4608"/>
    <col width="8.7265625" customWidth="1" style="662" min="4609" max="4620"/>
    <col width="11.1796875" customWidth="1" style="662" min="4621" max="4621"/>
    <col width="9.1796875" customWidth="1" style="662" min="4622" max="4864"/>
    <col width="8.7265625" customWidth="1" style="662" min="4865" max="4876"/>
    <col width="11.1796875" customWidth="1" style="662" min="4877" max="4877"/>
    <col width="9.1796875" customWidth="1" style="662" min="4878" max="5120"/>
    <col width="8.7265625" customWidth="1" style="662" min="5121" max="5132"/>
    <col width="11.1796875" customWidth="1" style="662" min="5133" max="5133"/>
    <col width="9.1796875" customWidth="1" style="662" min="5134" max="5376"/>
    <col width="8.7265625" customWidth="1" style="662" min="5377" max="5388"/>
    <col width="11.1796875" customWidth="1" style="662" min="5389" max="5389"/>
    <col width="9.1796875" customWidth="1" style="662" min="5390" max="5632"/>
    <col width="8.7265625" customWidth="1" style="662" min="5633" max="5644"/>
    <col width="11.1796875" customWidth="1" style="662" min="5645" max="5645"/>
    <col width="9.1796875" customWidth="1" style="662" min="5646" max="5888"/>
    <col width="8.7265625" customWidth="1" style="662" min="5889" max="5900"/>
    <col width="11.1796875" customWidth="1" style="662" min="5901" max="5901"/>
    <col width="9.1796875" customWidth="1" style="662" min="5902" max="6144"/>
    <col width="8.7265625" customWidth="1" style="662" min="6145" max="6156"/>
    <col width="11.1796875" customWidth="1" style="662" min="6157" max="6157"/>
    <col width="9.1796875" customWidth="1" style="662" min="6158" max="6400"/>
    <col width="8.7265625" customWidth="1" style="662" min="6401" max="6412"/>
    <col width="11.1796875" customWidth="1" style="662" min="6413" max="6413"/>
    <col width="9.1796875" customWidth="1" style="662" min="6414" max="6656"/>
    <col width="8.7265625" customWidth="1" style="662" min="6657" max="6668"/>
    <col width="11.1796875" customWidth="1" style="662" min="6669" max="6669"/>
    <col width="9.1796875" customWidth="1" style="662" min="6670" max="6912"/>
    <col width="8.7265625" customWidth="1" style="662" min="6913" max="6924"/>
    <col width="11.1796875" customWidth="1" style="662" min="6925" max="6925"/>
    <col width="9.1796875" customWidth="1" style="662" min="6926" max="7168"/>
    <col width="8.7265625" customWidth="1" style="662" min="7169" max="7180"/>
    <col width="11.1796875" customWidth="1" style="662" min="7181" max="7181"/>
    <col width="9.1796875" customWidth="1" style="662" min="7182" max="7424"/>
    <col width="8.7265625" customWidth="1" style="662" min="7425" max="7436"/>
    <col width="11.1796875" customWidth="1" style="662" min="7437" max="7437"/>
    <col width="9.1796875" customWidth="1" style="662" min="7438" max="7680"/>
    <col width="8.7265625" customWidth="1" style="662" min="7681" max="7692"/>
    <col width="11.1796875" customWidth="1" style="662" min="7693" max="7693"/>
    <col width="9.1796875" customWidth="1" style="662" min="7694" max="7936"/>
    <col width="8.7265625" customWidth="1" style="662" min="7937" max="7948"/>
    <col width="11.1796875" customWidth="1" style="662" min="7949" max="7949"/>
    <col width="9.1796875" customWidth="1" style="662" min="7950" max="8192"/>
    <col width="8.7265625" customWidth="1" style="662" min="8193" max="8204"/>
    <col width="11.1796875" customWidth="1" style="662" min="8205" max="8205"/>
    <col width="9.1796875" customWidth="1" style="662" min="8206" max="8448"/>
    <col width="8.7265625" customWidth="1" style="662" min="8449" max="8460"/>
    <col width="11.1796875" customWidth="1" style="662" min="8461" max="8461"/>
    <col width="9.1796875" customWidth="1" style="662" min="8462" max="8704"/>
    <col width="8.7265625" customWidth="1" style="662" min="8705" max="8716"/>
    <col width="11.1796875" customWidth="1" style="662" min="8717" max="8717"/>
    <col width="9.1796875" customWidth="1" style="662" min="8718" max="8960"/>
    <col width="8.7265625" customWidth="1" style="662" min="8961" max="8972"/>
    <col width="11.1796875" customWidth="1" style="662" min="8973" max="8973"/>
    <col width="9.1796875" customWidth="1" style="662" min="8974" max="9216"/>
    <col width="8.7265625" customWidth="1" style="662" min="9217" max="9228"/>
    <col width="11.1796875" customWidth="1" style="662" min="9229" max="9229"/>
    <col width="9.1796875" customWidth="1" style="662" min="9230" max="9472"/>
    <col width="8.7265625" customWidth="1" style="662" min="9473" max="9484"/>
    <col width="11.1796875" customWidth="1" style="662" min="9485" max="9485"/>
    <col width="9.1796875" customWidth="1" style="662" min="9486" max="9728"/>
    <col width="8.7265625" customWidth="1" style="662" min="9729" max="9740"/>
    <col width="11.1796875" customWidth="1" style="662" min="9741" max="9741"/>
    <col width="9.1796875" customWidth="1" style="662" min="9742" max="9984"/>
    <col width="8.7265625" customWidth="1" style="662" min="9985" max="9996"/>
    <col width="11.1796875" customWidth="1" style="662" min="9997" max="9997"/>
    <col width="9.1796875" customWidth="1" style="662" min="9998" max="10240"/>
    <col width="8.7265625" customWidth="1" style="662" min="10241" max="10252"/>
    <col width="11.1796875" customWidth="1" style="662" min="10253" max="10253"/>
    <col width="9.1796875" customWidth="1" style="662" min="10254" max="10496"/>
    <col width="8.7265625" customWidth="1" style="662" min="10497" max="10508"/>
    <col width="11.1796875" customWidth="1" style="662" min="10509" max="10509"/>
    <col width="9.1796875" customWidth="1" style="662" min="10510" max="10752"/>
    <col width="8.7265625" customWidth="1" style="662" min="10753" max="10764"/>
    <col width="11.1796875" customWidth="1" style="662" min="10765" max="10765"/>
    <col width="9.1796875" customWidth="1" style="662" min="10766" max="11008"/>
    <col width="8.7265625" customWidth="1" style="662" min="11009" max="11020"/>
    <col width="11.1796875" customWidth="1" style="662" min="11021" max="11021"/>
    <col width="9.1796875" customWidth="1" style="662" min="11022" max="11264"/>
    <col width="8.7265625" customWidth="1" style="662" min="11265" max="11276"/>
    <col width="11.1796875" customWidth="1" style="662" min="11277" max="11277"/>
    <col width="9.1796875" customWidth="1" style="662" min="11278" max="11520"/>
    <col width="8.7265625" customWidth="1" style="662" min="11521" max="11532"/>
    <col width="11.1796875" customWidth="1" style="662" min="11533" max="11533"/>
    <col width="9.1796875" customWidth="1" style="662" min="11534" max="11776"/>
    <col width="8.7265625" customWidth="1" style="662" min="11777" max="11788"/>
    <col width="11.1796875" customWidth="1" style="662" min="11789" max="11789"/>
    <col width="9.1796875" customWidth="1" style="662" min="11790" max="12032"/>
    <col width="8.7265625" customWidth="1" style="662" min="12033" max="12044"/>
    <col width="11.1796875" customWidth="1" style="662" min="12045" max="12045"/>
    <col width="9.1796875" customWidth="1" style="662" min="12046" max="12288"/>
    <col width="8.7265625" customWidth="1" style="662" min="12289" max="12300"/>
    <col width="11.1796875" customWidth="1" style="662" min="12301" max="12301"/>
    <col width="9.1796875" customWidth="1" style="662" min="12302" max="12544"/>
    <col width="8.7265625" customWidth="1" style="662" min="12545" max="12556"/>
    <col width="11.1796875" customWidth="1" style="662" min="12557" max="12557"/>
    <col width="9.1796875" customWidth="1" style="662" min="12558" max="12800"/>
    <col width="8.7265625" customWidth="1" style="662" min="12801" max="12812"/>
    <col width="11.1796875" customWidth="1" style="662" min="12813" max="12813"/>
    <col width="9.1796875" customWidth="1" style="662" min="12814" max="13056"/>
    <col width="8.7265625" customWidth="1" style="662" min="13057" max="13068"/>
    <col width="11.1796875" customWidth="1" style="662" min="13069" max="13069"/>
    <col width="9.1796875" customWidth="1" style="662" min="13070" max="13312"/>
    <col width="8.7265625" customWidth="1" style="662" min="13313" max="13324"/>
    <col width="11.1796875" customWidth="1" style="662" min="13325" max="13325"/>
    <col width="9.1796875" customWidth="1" style="662" min="13326" max="13568"/>
    <col width="8.7265625" customWidth="1" style="662" min="13569" max="13580"/>
    <col width="11.1796875" customWidth="1" style="662" min="13581" max="13581"/>
    <col width="9.1796875" customWidth="1" style="662" min="13582" max="13824"/>
    <col width="8.7265625" customWidth="1" style="662" min="13825" max="13836"/>
    <col width="11.1796875" customWidth="1" style="662" min="13837" max="13837"/>
    <col width="9.1796875" customWidth="1" style="662" min="13838" max="14080"/>
    <col width="8.7265625" customWidth="1" style="662" min="14081" max="14092"/>
    <col width="11.1796875" customWidth="1" style="662" min="14093" max="14093"/>
    <col width="9.1796875" customWidth="1" style="662" min="14094" max="14336"/>
    <col width="8.7265625" customWidth="1" style="662" min="14337" max="14348"/>
    <col width="11.1796875" customWidth="1" style="662" min="14349" max="14349"/>
    <col width="9.1796875" customWidth="1" style="662" min="14350" max="14592"/>
    <col width="8.7265625" customWidth="1" style="662" min="14593" max="14604"/>
    <col width="11.1796875" customWidth="1" style="662" min="14605" max="14605"/>
    <col width="9.1796875" customWidth="1" style="662" min="14606" max="14848"/>
    <col width="8.7265625" customWidth="1" style="662" min="14849" max="14860"/>
    <col width="11.1796875" customWidth="1" style="662" min="14861" max="14861"/>
    <col width="9.1796875" customWidth="1" style="662" min="14862" max="15104"/>
    <col width="8.7265625" customWidth="1" style="662" min="15105" max="15116"/>
    <col width="11.1796875" customWidth="1" style="662" min="15117" max="15117"/>
    <col width="9.1796875" customWidth="1" style="662" min="15118" max="15360"/>
    <col width="8.7265625" customWidth="1" style="662" min="15361" max="15372"/>
    <col width="11.1796875" customWidth="1" style="662" min="15373" max="15373"/>
    <col width="9.1796875" customWidth="1" style="662" min="15374" max="15616"/>
    <col width="8.7265625" customWidth="1" style="662" min="15617" max="15628"/>
    <col width="11.1796875" customWidth="1" style="662" min="15629" max="15629"/>
    <col width="9.1796875" customWidth="1" style="662" min="15630" max="15872"/>
    <col width="8.7265625" customWidth="1" style="662" min="15873" max="15884"/>
    <col width="11.1796875" customWidth="1" style="662" min="15885" max="15885"/>
    <col width="9.1796875" customWidth="1" style="662" min="15886" max="16128"/>
    <col width="8.7265625" customWidth="1" style="662" min="16129" max="16140"/>
    <col width="11.1796875" customWidth="1" style="662" min="16141" max="16141"/>
    <col width="9.1796875" customWidth="1" style="662" min="16142" max="16384"/>
  </cols>
  <sheetData>
    <row r="1" ht="50.25" customHeight="1">
      <c r="A1" s="916" t="inlineStr">
        <is>
          <t>MPCI</t>
        </is>
      </c>
      <c r="B1" s="714" t="inlineStr">
        <is>
          <t>FEEDER LOG</t>
        </is>
      </c>
      <c r="C1" s="437" t="n"/>
      <c r="D1" s="437" t="n"/>
      <c r="E1" s="630" t="inlineStr">
        <is>
          <t>DOC:        FRM-104</t>
        </is>
      </c>
      <c r="F1" s="558" t="inlineStr">
        <is>
          <t>REVISION LEVEL: 011</t>
        </is>
      </c>
      <c r="G1" s="856" t="n"/>
      <c r="H1" s="856" t="n"/>
      <c r="I1" s="857" t="n"/>
      <c r="J1" s="560" t="inlineStr">
        <is>
          <t>ISSUE DATE: 9/30/19</t>
        </is>
      </c>
      <c r="K1" s="856" t="n"/>
      <c r="L1" s="857" t="n"/>
      <c r="M1" s="179" t="n"/>
      <c r="T1" s="46" t="n"/>
      <c r="U1" s="46" t="n"/>
      <c r="V1" s="46" t="n"/>
      <c r="W1" s="46" t="n"/>
      <c r="X1" s="46" t="n"/>
      <c r="Y1" s="46" t="n"/>
      <c r="Z1" s="46" t="n"/>
      <c r="AA1" s="46" t="n"/>
      <c r="AB1" s="46" t="n"/>
      <c r="AC1" s="46" t="n"/>
      <c r="AD1" s="46" t="n"/>
      <c r="AE1" s="46" t="n"/>
      <c r="AF1" s="46" t="n"/>
      <c r="AG1" s="46" t="n"/>
      <c r="AH1" s="46" t="n"/>
      <c r="AI1" s="46" t="n"/>
      <c r="AJ1" s="46" t="n"/>
      <c r="AK1" s="46" t="n"/>
      <c r="AL1" s="46" t="n"/>
      <c r="AM1" s="46" t="n"/>
      <c r="AN1" s="46" t="n"/>
      <c r="AO1" s="46" t="n"/>
      <c r="AP1" s="46" t="n"/>
      <c r="AQ1" s="46" t="n"/>
      <c r="AR1" s="46" t="n"/>
      <c r="AS1" s="46" t="n"/>
      <c r="AT1" s="46" t="n"/>
      <c r="AU1" s="46" t="n"/>
      <c r="AV1" s="46" t="n"/>
      <c r="AW1" s="46" t="n"/>
      <c r="AX1" s="46" t="n"/>
      <c r="AY1" s="46" t="n"/>
      <c r="AZ1" s="46" t="n"/>
      <c r="BA1" s="46" t="n"/>
      <c r="BB1" s="46" t="n"/>
      <c r="BC1" s="46" t="n"/>
      <c r="BD1" s="46" t="n"/>
      <c r="BE1" s="46" t="n"/>
      <c r="BF1" s="46" t="n"/>
      <c r="BG1" s="46" t="n"/>
      <c r="BH1" s="46" t="n"/>
      <c r="BI1" s="46" t="n"/>
      <c r="BJ1" s="46" t="n"/>
      <c r="BK1" s="46" t="n"/>
      <c r="BL1" s="46" t="n"/>
      <c r="BM1" s="46" t="n"/>
      <c r="BN1" s="46" t="n"/>
      <c r="BO1" s="46" t="n"/>
      <c r="BP1" s="46" t="n"/>
      <c r="BR1" s="46" t="n"/>
      <c r="BS1" s="46" t="n"/>
      <c r="BT1" s="46" t="n"/>
      <c r="BU1" s="46" t="n"/>
      <c r="BV1" s="46" t="n"/>
      <c r="BW1" s="46" t="n"/>
      <c r="BX1" s="46" t="n"/>
      <c r="BY1" s="46" t="n"/>
      <c r="BZ1" s="46" t="n"/>
      <c r="CA1" s="46" t="n"/>
      <c r="CB1" s="46" t="n"/>
      <c r="CC1" s="46" t="n"/>
      <c r="CD1" s="46" t="n"/>
      <c r="CE1" s="46" t="n"/>
    </row>
    <row r="2" ht="30" customHeight="1">
      <c r="A2" s="846" t="n"/>
      <c r="B2" s="917" t="inlineStr">
        <is>
          <t>Form Reviewed by: Quality Coordinator</t>
        </is>
      </c>
      <c r="C2" s="856" t="n"/>
      <c r="D2" s="857" t="n"/>
      <c r="E2" s="558" t="inlineStr">
        <is>
          <t>Form Approved by: Site Manager</t>
        </is>
      </c>
      <c r="F2" s="857" t="n"/>
      <c r="G2" s="558" t="inlineStr">
        <is>
          <t>Reference:  Feeder Operation PRO-010;                                           Process Step # 4 "Feeding"</t>
        </is>
      </c>
      <c r="H2" s="856" t="n"/>
      <c r="I2" s="856" t="n"/>
      <c r="J2" s="856" t="n"/>
      <c r="K2" s="856" t="n"/>
      <c r="L2" s="857" t="n"/>
      <c r="M2" s="179" t="n"/>
      <c r="N2" s="258" t="n"/>
      <c r="O2" s="258" t="n"/>
      <c r="T2" s="46" t="n"/>
      <c r="U2" s="46" t="n"/>
      <c r="V2" s="46" t="n"/>
      <c r="W2" s="46" t="n"/>
      <c r="X2" s="46" t="n"/>
      <c r="Y2" s="46" t="n"/>
      <c r="Z2" s="46" t="n"/>
      <c r="AA2" s="46" t="n"/>
      <c r="AB2" s="46" t="n"/>
      <c r="AC2" s="46" t="n"/>
      <c r="AD2" s="46" t="n"/>
      <c r="AE2" s="46" t="n"/>
      <c r="AF2" s="46" t="n"/>
      <c r="AG2" s="46" t="n"/>
      <c r="AH2" s="46" t="n"/>
      <c r="AI2" s="46" t="n"/>
      <c r="AJ2" s="46" t="n"/>
      <c r="AK2" s="46" t="n"/>
      <c r="AL2" s="46" t="n"/>
      <c r="AM2" s="46" t="n"/>
      <c r="AN2" s="46" t="n"/>
      <c r="AO2" s="46" t="n"/>
      <c r="AP2" s="46" t="n"/>
      <c r="AQ2" s="46" t="n"/>
      <c r="AR2" s="46" t="n"/>
      <c r="AS2" s="46" t="n"/>
      <c r="AT2" s="46" t="n"/>
      <c r="AU2" s="46" t="n"/>
      <c r="AV2" s="46" t="n"/>
      <c r="AW2" s="46" t="n"/>
      <c r="AX2" s="46" t="n"/>
      <c r="AY2" s="46" t="n"/>
      <c r="AZ2" s="46" t="n"/>
      <c r="BA2" s="46" t="n"/>
      <c r="BB2" s="46" t="n"/>
      <c r="BC2" s="46" t="n"/>
      <c r="BD2" s="46" t="n"/>
      <c r="BE2" s="46" t="n"/>
      <c r="BF2" s="46" t="n"/>
      <c r="BG2" s="46" t="n"/>
      <c r="BH2" s="46" t="n"/>
      <c r="BI2" s="46" t="n"/>
      <c r="BJ2" s="46" t="n"/>
      <c r="BK2" s="46" t="n"/>
      <c r="BL2" s="46" t="n"/>
      <c r="BM2" s="46" t="n"/>
      <c r="BN2" s="46" t="n"/>
      <c r="BO2" s="46" t="n"/>
      <c r="BP2" s="46" t="n"/>
      <c r="BR2" s="47" t="n"/>
      <c r="BS2" s="47" t="n"/>
      <c r="BT2" s="47" t="n"/>
      <c r="BU2" s="47" t="n"/>
      <c r="BV2" s="47" t="n"/>
      <c r="BW2" s="47" t="n"/>
      <c r="BX2" s="47" t="n"/>
      <c r="BY2" s="47" t="n"/>
      <c r="BZ2" s="47" t="n"/>
      <c r="CA2" s="47" t="n"/>
      <c r="CB2" s="47" t="n"/>
      <c r="CC2" s="47" t="n"/>
      <c r="CD2" s="47" t="n"/>
      <c r="CE2" s="47" t="n"/>
    </row>
    <row r="3" ht="7.5" customHeight="1">
      <c r="J3" s="653" t="n"/>
      <c r="K3" s="653" t="n"/>
      <c r="L3" s="653" t="n"/>
    </row>
    <row r="4" ht="24" customFormat="1" customHeight="1" s="248">
      <c r="A4" s="918" t="inlineStr">
        <is>
          <t>RAW MATERIAL:</t>
        </is>
      </c>
      <c r="B4" s="857" t="n"/>
      <c r="C4" s="743">
        <f>PACKET!G8</f>
        <v/>
      </c>
      <c r="D4" s="856" t="n"/>
      <c r="E4" s="856" t="n"/>
      <c r="F4" s="856" t="n"/>
      <c r="G4" s="856" t="n"/>
      <c r="H4" s="919" t="inlineStr">
        <is>
          <t>JOB NUMBER:</t>
        </is>
      </c>
      <c r="I4" s="857" t="n"/>
      <c r="J4" s="920">
        <f>PACKET!C27</f>
        <v/>
      </c>
      <c r="K4" s="856" t="n"/>
      <c r="L4" s="857" t="n"/>
    </row>
    <row r="5" ht="26.25" customFormat="1" customHeight="1" s="248">
      <c r="A5" s="918" t="inlineStr">
        <is>
          <t>LINE NUMBER:</t>
        </is>
      </c>
      <c r="B5" s="857" t="n"/>
      <c r="C5" s="259">
        <f>PACKET!C26</f>
        <v/>
      </c>
      <c r="D5" s="918" t="inlineStr">
        <is>
          <t>FEEDER NUMBER:</t>
        </is>
      </c>
      <c r="E5" s="857" t="n"/>
      <c r="F5" s="920" t="inlineStr">
        <is>
          <t>FOUR</t>
        </is>
      </c>
      <c r="G5" s="857" t="n"/>
      <c r="H5" s="919" t="inlineStr">
        <is>
          <t>T.L. APPROVAL:</t>
        </is>
      </c>
      <c r="I5" s="857" t="n"/>
      <c r="J5" s="259">
        <f>PACKET!C5</f>
        <v/>
      </c>
      <c r="K5" s="856" t="n"/>
      <c r="L5" s="857" t="n"/>
    </row>
    <row r="6" ht="9.75" customFormat="1" customHeight="1" s="248">
      <c r="A6" s="260" t="n"/>
      <c r="B6" s="260" t="n"/>
      <c r="C6" s="261" t="n"/>
      <c r="D6" s="260" t="n"/>
      <c r="E6" s="260" t="n"/>
      <c r="F6" s="262" t="n"/>
      <c r="G6" s="170" t="n"/>
      <c r="H6" s="169" t="n"/>
      <c r="I6" s="169" t="n"/>
      <c r="J6" s="263" t="n"/>
      <c r="K6" s="263" t="n"/>
      <c r="L6" s="263" t="n"/>
    </row>
    <row r="7" ht="24" customFormat="1" customHeight="1" s="248">
      <c r="A7" s="263" t="n"/>
      <c r="B7" s="264" t="n"/>
      <c r="C7" s="264" t="n"/>
      <c r="D7" s="263" t="n"/>
      <c r="E7" s="263" t="n"/>
      <c r="F7" s="263" t="n"/>
      <c r="G7" s="263" t="n"/>
      <c r="H7" s="263" t="n"/>
      <c r="I7" s="263" t="n"/>
      <c r="J7" s="264" t="n"/>
      <c r="K7" s="264" t="n"/>
      <c r="L7" s="264" t="n"/>
    </row>
    <row r="8" ht="15" customFormat="1" customHeight="1" s="248">
      <c r="A8" s="720" t="inlineStr">
        <is>
          <t>BOX, CRATE, SS, AND BOWL MATERIAL</t>
        </is>
      </c>
      <c r="B8" s="856" t="n"/>
      <c r="C8" s="856" t="n"/>
      <c r="D8" s="856" t="n"/>
      <c r="E8" s="856" t="n"/>
      <c r="F8" s="921" t="inlineStr">
        <is>
          <t>RAILCAR MATERIAL</t>
        </is>
      </c>
      <c r="G8" s="856" t="n"/>
      <c r="H8" s="856" t="n"/>
      <c r="I8" s="856" t="n"/>
      <c r="J8" s="856" t="n"/>
      <c r="K8" s="856" t="n"/>
      <c r="L8" s="857" t="n"/>
    </row>
    <row r="9" ht="15" customFormat="1" customHeight="1" s="248">
      <c r="A9" s="922" t="inlineStr">
        <is>
          <t xml:space="preserve">Throughout job, from beginning to end; record Team, Date, R #  for every Receiver of material loaded. Load material in FIFO order. When consuming multiple packages of the same receiver, only one entry is required per shift.  For Blends record every bowl number loaded. No 2nd check is necessary. </t>
        </is>
      </c>
      <c r="B9" s="437" t="n"/>
      <c r="C9" s="437" t="n"/>
      <c r="D9" s="437" t="n"/>
      <c r="E9" s="859" t="n"/>
      <c r="F9" s="923" t="inlineStr">
        <is>
          <t>When using material out of a railcar, use the Event Log to track the railcar usage. Record all other material usage on this form.</t>
        </is>
      </c>
      <c r="G9" s="437" t="n"/>
      <c r="H9" s="437" t="n"/>
      <c r="I9" s="437" t="n"/>
      <c r="J9" s="437" t="n"/>
      <c r="K9" s="437" t="n"/>
      <c r="L9" s="859" t="n"/>
    </row>
    <row r="10" ht="15" customFormat="1" customHeight="1" s="248">
      <c r="A10" s="854" t="n"/>
      <c r="E10" s="528" t="n"/>
      <c r="F10" s="474" t="n"/>
      <c r="G10" s="441" t="n"/>
      <c r="H10" s="441" t="n"/>
      <c r="I10" s="441" t="n"/>
      <c r="J10" s="441" t="n"/>
      <c r="K10" s="441" t="n"/>
      <c r="L10" s="442" t="n"/>
    </row>
    <row r="11" ht="15" customFormat="1" customHeight="1" s="248">
      <c r="A11" s="474" t="n"/>
      <c r="B11" s="441" t="n"/>
      <c r="C11" s="441" t="n"/>
      <c r="D11" s="441" t="n"/>
      <c r="E11" s="442" t="n"/>
      <c r="F11" s="923" t="inlineStr">
        <is>
          <t>At start of job; record  Car #, Comp, and R #. On the Event Log  .  The 2nd check will be completed on the Changeover Checklist.</t>
        </is>
      </c>
      <c r="G11" s="437" t="n"/>
      <c r="H11" s="437" t="n"/>
      <c r="I11" s="437" t="n"/>
      <c r="J11" s="437" t="n"/>
      <c r="K11" s="437" t="n"/>
      <c r="L11" s="859" t="n"/>
    </row>
    <row r="12" ht="15" customFormat="1" customHeight="1" s="248">
      <c r="A12" s="924" t="inlineStr">
        <is>
          <t>MISCELLANEOUS</t>
        </is>
      </c>
      <c r="B12" s="856" t="n"/>
      <c r="C12" s="856" t="n"/>
      <c r="D12" s="856" t="n"/>
      <c r="E12" s="857" t="n"/>
      <c r="F12" s="474" t="n"/>
      <c r="G12" s="441" t="n"/>
      <c r="H12" s="441" t="n"/>
      <c r="I12" s="441" t="n"/>
      <c r="J12" s="441" t="n"/>
      <c r="K12" s="441" t="n"/>
      <c r="L12" s="442" t="n"/>
    </row>
    <row r="13" ht="15" customFormat="1" customHeight="1" s="248">
      <c r="A13" s="925" t="inlineStr">
        <is>
          <t>Contact Supervision if another Feeder Log is needed!</t>
        </is>
      </c>
      <c r="B13" s="437" t="n"/>
      <c r="C13" s="437" t="n"/>
      <c r="D13" s="437" t="n"/>
      <c r="E13" s="859" t="n"/>
      <c r="F13" s="923" t="inlineStr">
        <is>
          <t>During the job; at the start of each shift, double-check that the correct railcar is being used. Ensure that the correct information of Car #, Comp and R # is recorded on the Event Log.  This must be completed within the first 60 minutes of taking the floor.</t>
        </is>
      </c>
      <c r="G13" s="437" t="n"/>
      <c r="H13" s="437" t="n"/>
      <c r="I13" s="437" t="n"/>
      <c r="J13" s="437" t="n"/>
      <c r="K13" s="437" t="n"/>
      <c r="L13" s="859" t="n"/>
    </row>
    <row r="14" ht="15" customFormat="1" customHeight="1" s="248">
      <c r="A14" s="474" t="n"/>
      <c r="B14" s="441" t="n"/>
      <c r="C14" s="441" t="n"/>
      <c r="D14" s="441" t="n"/>
      <c r="E14" s="442" t="n"/>
      <c r="F14" s="854" t="n"/>
      <c r="L14" s="528" t="n"/>
    </row>
    <row r="15" ht="15" customFormat="1" customHeight="1" s="248">
      <c r="A15" s="926" t="inlineStr">
        <is>
          <t xml:space="preserve">Remember                                                                           That all Mezzanine material loaded                                              must match each individual feeder log                                             Feeder # 8,                                                                        Notify labs (QC and Color) when changing out blends during a production run </t>
        </is>
      </c>
      <c r="B15" s="437" t="n"/>
      <c r="C15" s="437" t="n"/>
      <c r="D15" s="437" t="n"/>
      <c r="E15" s="859" t="n"/>
      <c r="F15" s="474" t="n"/>
      <c r="G15" s="441" t="n"/>
      <c r="H15" s="441" t="n"/>
      <c r="I15" s="441" t="n"/>
      <c r="J15" s="441" t="n"/>
      <c r="K15" s="441" t="n"/>
      <c r="L15" s="442" t="n"/>
    </row>
    <row r="16" ht="15" customFormat="1" customHeight="1" s="248">
      <c r="A16" s="854" t="n"/>
      <c r="E16" s="528" t="n"/>
      <c r="F16" s="927" t="inlineStr">
        <is>
          <t>During the job; after switching a compartment or railcar, record Car #, Comp.,R #, totalizer value for that feeder and time of the new compartment or railcar on the Event Log.  Have another employee double-check that the switch is correct.  That employee is to initial in the Double Check column.  This must be completed within 60 minutes of the switch.</t>
        </is>
      </c>
      <c r="G16" s="437" t="n"/>
      <c r="H16" s="437" t="n"/>
      <c r="I16" s="437" t="n"/>
      <c r="J16" s="437" t="n"/>
      <c r="K16" s="437" t="n"/>
      <c r="L16" s="859" t="n"/>
    </row>
    <row r="17" ht="15" customFormat="1" customHeight="1" s="248">
      <c r="A17" s="854" t="n"/>
      <c r="E17" s="528" t="n"/>
      <c r="F17" s="854" t="n"/>
      <c r="L17" s="528" t="n"/>
    </row>
    <row r="18" ht="27.75" customFormat="1" customHeight="1" s="248">
      <c r="A18" s="474" t="n"/>
      <c r="B18" s="441" t="n"/>
      <c r="C18" s="441" t="n"/>
      <c r="D18" s="441" t="n"/>
      <c r="E18" s="442" t="n"/>
      <c r="F18" s="854" t="n"/>
      <c r="L18" s="528" t="n"/>
    </row>
    <row r="19" ht="30" customFormat="1" customHeight="1" s="248">
      <c r="A19" s="265" t="inlineStr">
        <is>
          <t>Staged Receiver Numbers for the Job</t>
        </is>
      </c>
      <c r="B19" s="266" t="n"/>
      <c r="C19" s="266" t="n"/>
      <c r="D19" s="266" t="n"/>
      <c r="E19" s="267" t="n"/>
      <c r="F19" s="267" t="n"/>
      <c r="G19" s="585" t="inlineStr">
        <is>
          <t>Type:     Box/Crate          R/C            Blend        Supersack</t>
        </is>
      </c>
      <c r="H19" s="267" t="n"/>
      <c r="I19" s="267" t="n"/>
      <c r="J19" s="267" t="n"/>
      <c r="K19" s="267" t="n"/>
      <c r="L19" s="586" t="n"/>
    </row>
    <row r="20">
      <c r="A20" s="928" t="n"/>
      <c r="B20" s="859" t="n"/>
      <c r="C20" s="928" t="n"/>
      <c r="D20" s="859" t="n"/>
      <c r="E20" s="929" t="n"/>
      <c r="F20" s="437" t="n"/>
      <c r="G20" s="930" t="n"/>
      <c r="H20" s="528" t="n"/>
      <c r="I20" s="931" t="n"/>
      <c r="J20" s="528" t="n"/>
      <c r="K20" s="931" t="n"/>
      <c r="L20" s="528" t="n"/>
    </row>
    <row r="21">
      <c r="A21" s="474" t="n"/>
      <c r="B21" s="442" t="n"/>
      <c r="C21" s="474" t="n"/>
      <c r="D21" s="442" t="n"/>
      <c r="E21" s="474" t="n"/>
      <c r="F21" s="441" t="n"/>
      <c r="G21" s="932" t="n"/>
      <c r="H21" s="442" t="n"/>
      <c r="I21" s="474" t="n"/>
      <c r="J21" s="442" t="n"/>
      <c r="K21" s="474" t="n"/>
      <c r="L21" s="442" t="n"/>
    </row>
    <row r="22" ht="0.75" customHeight="1">
      <c r="A22" s="928" t="inlineStr">
        <is>
          <t xml:space="preserve"> </t>
        </is>
      </c>
      <c r="B22" s="859" t="n"/>
      <c r="C22" s="928" t="inlineStr">
        <is>
          <t xml:space="preserve"> </t>
        </is>
      </c>
      <c r="D22" s="859" t="n"/>
      <c r="E22" s="929" t="inlineStr">
        <is>
          <t xml:space="preserve"> </t>
        </is>
      </c>
      <c r="F22" s="437" t="n"/>
      <c r="G22" s="933" t="inlineStr">
        <is>
          <t xml:space="preserve"> </t>
        </is>
      </c>
      <c r="H22" s="859" t="n"/>
      <c r="I22" s="928" t="inlineStr">
        <is>
          <t xml:space="preserve"> </t>
        </is>
      </c>
      <c r="J22" s="859" t="n"/>
      <c r="K22" s="928" t="inlineStr">
        <is>
          <t xml:space="preserve"> </t>
        </is>
      </c>
      <c r="L22" s="859" t="n"/>
    </row>
    <row r="23" hidden="1">
      <c r="A23" s="474" t="n"/>
      <c r="B23" s="442" t="n"/>
      <c r="C23" s="474" t="n"/>
      <c r="D23" s="442" t="n"/>
      <c r="E23" s="474" t="n"/>
      <c r="F23" s="441" t="n"/>
      <c r="G23" s="932" t="n"/>
      <c r="H23" s="442" t="n"/>
      <c r="I23" s="474" t="n"/>
      <c r="J23" s="442" t="n"/>
      <c r="K23" s="474" t="n"/>
      <c r="L23" s="442" t="n"/>
    </row>
    <row r="24" ht="12.75" customHeight="1">
      <c r="A24" s="934" t="inlineStr">
        <is>
          <t>Team / Date</t>
        </is>
      </c>
      <c r="B24" s="859" t="n"/>
      <c r="C24" s="935" t="inlineStr">
        <is>
          <t>Time/initials</t>
        </is>
      </c>
      <c r="D24" s="859" t="n"/>
      <c r="E24" s="936" t="inlineStr">
        <is>
          <t>R# / Bowl #</t>
        </is>
      </c>
      <c r="F24" s="859" t="n"/>
      <c r="G24" s="934" t="inlineStr">
        <is>
          <t>Team / Date</t>
        </is>
      </c>
      <c r="H24" s="859" t="n"/>
      <c r="I24" s="935" t="inlineStr">
        <is>
          <t>Time/initials</t>
        </is>
      </c>
      <c r="J24" s="859" t="n"/>
      <c r="K24" s="936" t="inlineStr">
        <is>
          <t>R# / Bowl #</t>
        </is>
      </c>
      <c r="L24" s="859" t="n"/>
    </row>
    <row r="25" ht="12.75" customHeight="1">
      <c r="A25" s="932" t="n"/>
      <c r="B25" s="442" t="n"/>
      <c r="C25" s="474" t="n"/>
      <c r="D25" s="442" t="n"/>
      <c r="E25" s="474" t="n"/>
      <c r="F25" s="442" t="n"/>
      <c r="G25" s="932" t="n"/>
      <c r="H25" s="442" t="n"/>
      <c r="I25" s="474" t="n"/>
      <c r="J25" s="442" t="n"/>
      <c r="K25" s="474" t="n"/>
      <c r="L25" s="442" t="n"/>
    </row>
    <row r="26">
      <c r="A26" s="928" t="inlineStr">
        <is>
          <t xml:space="preserve"> </t>
        </is>
      </c>
      <c r="B26" s="859" t="n"/>
      <c r="C26" s="928" t="inlineStr">
        <is>
          <t xml:space="preserve"> </t>
        </is>
      </c>
      <c r="D26" s="859" t="n"/>
      <c r="E26" s="929" t="inlineStr">
        <is>
          <t xml:space="preserve"> </t>
        </is>
      </c>
      <c r="F26" s="437" t="n"/>
      <c r="G26" s="933" t="inlineStr">
        <is>
          <t xml:space="preserve"> </t>
        </is>
      </c>
      <c r="H26" s="859" t="n"/>
      <c r="I26" s="928" t="inlineStr">
        <is>
          <t xml:space="preserve"> </t>
        </is>
      </c>
      <c r="J26" s="859" t="n"/>
      <c r="K26" s="928" t="inlineStr">
        <is>
          <t xml:space="preserve"> </t>
        </is>
      </c>
      <c r="L26" s="859" t="n"/>
    </row>
    <row r="27">
      <c r="A27" s="474" t="n"/>
      <c r="B27" s="442" t="n"/>
      <c r="C27" s="474" t="n"/>
      <c r="D27" s="442" t="n"/>
      <c r="E27" s="474" t="n"/>
      <c r="F27" s="441" t="n"/>
      <c r="G27" s="932" t="n"/>
      <c r="H27" s="442" t="n"/>
      <c r="I27" s="474" t="n"/>
      <c r="J27" s="442" t="n"/>
      <c r="K27" s="474" t="n"/>
      <c r="L27" s="442" t="n"/>
    </row>
    <row r="28">
      <c r="A28" s="928" t="inlineStr">
        <is>
          <t xml:space="preserve"> </t>
        </is>
      </c>
      <c r="B28" s="859" t="n"/>
      <c r="C28" s="928" t="inlineStr">
        <is>
          <t xml:space="preserve"> </t>
        </is>
      </c>
      <c r="D28" s="859" t="n"/>
      <c r="E28" s="929" t="inlineStr">
        <is>
          <t xml:space="preserve"> </t>
        </is>
      </c>
      <c r="F28" s="437" t="n"/>
      <c r="G28" s="933" t="inlineStr">
        <is>
          <t xml:space="preserve"> </t>
        </is>
      </c>
      <c r="H28" s="859" t="n"/>
      <c r="I28" s="928" t="inlineStr">
        <is>
          <t xml:space="preserve"> </t>
        </is>
      </c>
      <c r="J28" s="859" t="n"/>
      <c r="K28" s="928" t="inlineStr">
        <is>
          <t xml:space="preserve"> </t>
        </is>
      </c>
      <c r="L28" s="859" t="n"/>
    </row>
    <row r="29">
      <c r="A29" s="474" t="n"/>
      <c r="B29" s="442" t="n"/>
      <c r="C29" s="474" t="n"/>
      <c r="D29" s="442" t="n"/>
      <c r="E29" s="474" t="n"/>
      <c r="F29" s="441" t="n"/>
      <c r="G29" s="932" t="n"/>
      <c r="H29" s="442" t="n"/>
      <c r="I29" s="474" t="n"/>
      <c r="J29" s="442" t="n"/>
      <c r="K29" s="474" t="n"/>
      <c r="L29" s="442" t="n"/>
    </row>
    <row r="30">
      <c r="A30" s="928" t="inlineStr">
        <is>
          <t xml:space="preserve"> </t>
        </is>
      </c>
      <c r="B30" s="859" t="n"/>
      <c r="C30" s="928" t="inlineStr">
        <is>
          <t xml:space="preserve"> </t>
        </is>
      </c>
      <c r="D30" s="859" t="n"/>
      <c r="E30" s="929" t="inlineStr">
        <is>
          <t xml:space="preserve"> </t>
        </is>
      </c>
      <c r="F30" s="437" t="n"/>
      <c r="G30" s="933" t="inlineStr">
        <is>
          <t xml:space="preserve"> </t>
        </is>
      </c>
      <c r="H30" s="859" t="n"/>
      <c r="I30" s="928" t="inlineStr">
        <is>
          <t xml:space="preserve"> </t>
        </is>
      </c>
      <c r="J30" s="859" t="n"/>
      <c r="K30" s="928" t="inlineStr">
        <is>
          <t xml:space="preserve"> </t>
        </is>
      </c>
      <c r="L30" s="859" t="n"/>
    </row>
    <row r="31">
      <c r="A31" s="474" t="n"/>
      <c r="B31" s="442" t="n"/>
      <c r="C31" s="474" t="n"/>
      <c r="D31" s="442" t="n"/>
      <c r="E31" s="474" t="n"/>
      <c r="F31" s="441" t="n"/>
      <c r="G31" s="932" t="n"/>
      <c r="H31" s="442" t="n"/>
      <c r="I31" s="474" t="n"/>
      <c r="J31" s="442" t="n"/>
      <c r="K31" s="474" t="n"/>
      <c r="L31" s="442" t="n"/>
    </row>
    <row r="32">
      <c r="A32" s="928" t="inlineStr">
        <is>
          <t xml:space="preserve"> </t>
        </is>
      </c>
      <c r="B32" s="859" t="n"/>
      <c r="C32" s="928" t="inlineStr">
        <is>
          <t xml:space="preserve"> </t>
        </is>
      </c>
      <c r="D32" s="859" t="n"/>
      <c r="E32" s="929" t="inlineStr">
        <is>
          <t xml:space="preserve"> </t>
        </is>
      </c>
      <c r="F32" s="437" t="n"/>
      <c r="G32" s="933" t="inlineStr">
        <is>
          <t xml:space="preserve"> </t>
        </is>
      </c>
      <c r="H32" s="859" t="n"/>
      <c r="I32" s="928" t="inlineStr">
        <is>
          <t xml:space="preserve"> </t>
        </is>
      </c>
      <c r="J32" s="859" t="n"/>
      <c r="K32" s="928" t="inlineStr">
        <is>
          <t xml:space="preserve"> </t>
        </is>
      </c>
      <c r="L32" s="859" t="n"/>
    </row>
    <row r="33">
      <c r="A33" s="474" t="n"/>
      <c r="B33" s="442" t="n"/>
      <c r="C33" s="474" t="n"/>
      <c r="D33" s="442" t="n"/>
      <c r="E33" s="474" t="n"/>
      <c r="F33" s="441" t="n"/>
      <c r="G33" s="932" t="n"/>
      <c r="H33" s="442" t="n"/>
      <c r="I33" s="474" t="n"/>
      <c r="J33" s="442" t="n"/>
      <c r="K33" s="474" t="n"/>
      <c r="L33" s="442" t="n"/>
    </row>
    <row r="34">
      <c r="A34" s="928" t="inlineStr">
        <is>
          <t xml:space="preserve"> </t>
        </is>
      </c>
      <c r="B34" s="859" t="n"/>
      <c r="C34" s="928" t="inlineStr">
        <is>
          <t xml:space="preserve"> </t>
        </is>
      </c>
      <c r="D34" s="859" t="n"/>
      <c r="E34" s="929" t="inlineStr">
        <is>
          <t xml:space="preserve"> </t>
        </is>
      </c>
      <c r="F34" s="437" t="n"/>
      <c r="G34" s="933" t="inlineStr">
        <is>
          <t xml:space="preserve"> </t>
        </is>
      </c>
      <c r="H34" s="859" t="n"/>
      <c r="I34" s="928" t="inlineStr">
        <is>
          <t xml:space="preserve"> </t>
        </is>
      </c>
      <c r="J34" s="859" t="n"/>
      <c r="K34" s="928" t="inlineStr">
        <is>
          <t xml:space="preserve"> </t>
        </is>
      </c>
      <c r="L34" s="859" t="n"/>
    </row>
    <row r="35">
      <c r="A35" s="474" t="n"/>
      <c r="B35" s="442" t="n"/>
      <c r="C35" s="474" t="n"/>
      <c r="D35" s="442" t="n"/>
      <c r="E35" s="474" t="n"/>
      <c r="F35" s="441" t="n"/>
      <c r="G35" s="932" t="n"/>
      <c r="H35" s="442" t="n"/>
      <c r="I35" s="474" t="n"/>
      <c r="J35" s="442" t="n"/>
      <c r="K35" s="474" t="n"/>
      <c r="L35" s="442" t="n"/>
    </row>
    <row r="36">
      <c r="A36" s="928" t="inlineStr">
        <is>
          <t xml:space="preserve"> </t>
        </is>
      </c>
      <c r="B36" s="859" t="n"/>
      <c r="C36" s="928" t="inlineStr">
        <is>
          <t xml:space="preserve"> </t>
        </is>
      </c>
      <c r="D36" s="859" t="n"/>
      <c r="E36" s="929" t="inlineStr">
        <is>
          <t xml:space="preserve"> </t>
        </is>
      </c>
      <c r="F36" s="437" t="n"/>
      <c r="G36" s="933" t="inlineStr">
        <is>
          <t xml:space="preserve"> </t>
        </is>
      </c>
      <c r="H36" s="859" t="n"/>
      <c r="I36" s="928" t="inlineStr">
        <is>
          <t xml:space="preserve"> </t>
        </is>
      </c>
      <c r="J36" s="859" t="n"/>
      <c r="K36" s="928" t="inlineStr">
        <is>
          <t xml:space="preserve"> </t>
        </is>
      </c>
      <c r="L36" s="859" t="n"/>
    </row>
    <row r="37">
      <c r="A37" s="474" t="n"/>
      <c r="B37" s="442" t="n"/>
      <c r="C37" s="474" t="n"/>
      <c r="D37" s="442" t="n"/>
      <c r="E37" s="474" t="n"/>
      <c r="F37" s="441" t="n"/>
      <c r="G37" s="932" t="n"/>
      <c r="H37" s="442" t="n"/>
      <c r="I37" s="474" t="n"/>
      <c r="J37" s="442" t="n"/>
      <c r="K37" s="474" t="n"/>
      <c r="L37" s="442" t="n"/>
    </row>
    <row r="38">
      <c r="A38" s="928" t="inlineStr">
        <is>
          <t xml:space="preserve"> </t>
        </is>
      </c>
      <c r="B38" s="859" t="n"/>
      <c r="C38" s="928" t="inlineStr">
        <is>
          <t xml:space="preserve"> </t>
        </is>
      </c>
      <c r="D38" s="859" t="n"/>
      <c r="E38" s="929" t="inlineStr">
        <is>
          <t xml:space="preserve"> </t>
        </is>
      </c>
      <c r="F38" s="437" t="n"/>
      <c r="G38" s="933" t="inlineStr">
        <is>
          <t xml:space="preserve"> </t>
        </is>
      </c>
      <c r="H38" s="859" t="n"/>
      <c r="I38" s="928" t="inlineStr">
        <is>
          <t xml:space="preserve"> </t>
        </is>
      </c>
      <c r="J38" s="859" t="n"/>
      <c r="K38" s="928" t="inlineStr">
        <is>
          <t xml:space="preserve"> </t>
        </is>
      </c>
      <c r="L38" s="859" t="n"/>
    </row>
    <row r="39">
      <c r="A39" s="474" t="n"/>
      <c r="B39" s="442" t="n"/>
      <c r="C39" s="474" t="n"/>
      <c r="D39" s="442" t="n"/>
      <c r="E39" s="474" t="n"/>
      <c r="F39" s="441" t="n"/>
      <c r="G39" s="932" t="n"/>
      <c r="H39" s="442" t="n"/>
      <c r="I39" s="474" t="n"/>
      <c r="J39" s="442" t="n"/>
      <c r="K39" s="474" t="n"/>
      <c r="L39" s="442" t="n"/>
    </row>
    <row r="40">
      <c r="A40" s="928" t="inlineStr">
        <is>
          <t xml:space="preserve"> </t>
        </is>
      </c>
      <c r="B40" s="859" t="n"/>
      <c r="C40" s="928" t="inlineStr">
        <is>
          <t xml:space="preserve"> </t>
        </is>
      </c>
      <c r="D40" s="859" t="n"/>
      <c r="E40" s="929" t="inlineStr">
        <is>
          <t xml:space="preserve"> </t>
        </is>
      </c>
      <c r="F40" s="437" t="n"/>
      <c r="G40" s="933" t="inlineStr">
        <is>
          <t xml:space="preserve"> </t>
        </is>
      </c>
      <c r="H40" s="859" t="n"/>
      <c r="I40" s="928" t="inlineStr">
        <is>
          <t xml:space="preserve"> </t>
        </is>
      </c>
      <c r="J40" s="859" t="n"/>
      <c r="K40" s="928" t="inlineStr">
        <is>
          <t xml:space="preserve"> </t>
        </is>
      </c>
      <c r="L40" s="859" t="n"/>
    </row>
    <row r="41">
      <c r="A41" s="474" t="n"/>
      <c r="B41" s="442" t="n"/>
      <c r="C41" s="474" t="n"/>
      <c r="D41" s="442" t="n"/>
      <c r="E41" s="474" t="n"/>
      <c r="F41" s="441" t="n"/>
      <c r="G41" s="932" t="n"/>
      <c r="H41" s="442" t="n"/>
      <c r="I41" s="474" t="n"/>
      <c r="J41" s="442" t="n"/>
      <c r="K41" s="474" t="n"/>
      <c r="L41" s="442" t="n"/>
    </row>
    <row r="42">
      <c r="A42" s="928" t="inlineStr">
        <is>
          <t xml:space="preserve"> </t>
        </is>
      </c>
      <c r="B42" s="859" t="n"/>
      <c r="C42" s="928" t="inlineStr">
        <is>
          <t xml:space="preserve"> </t>
        </is>
      </c>
      <c r="D42" s="859" t="n"/>
      <c r="E42" s="929" t="inlineStr">
        <is>
          <t xml:space="preserve"> </t>
        </is>
      </c>
      <c r="F42" s="437" t="n"/>
      <c r="G42" s="933" t="inlineStr">
        <is>
          <t xml:space="preserve"> </t>
        </is>
      </c>
      <c r="H42" s="859" t="n"/>
      <c r="I42" s="928" t="inlineStr">
        <is>
          <t xml:space="preserve"> </t>
        </is>
      </c>
      <c r="J42" s="859" t="n"/>
      <c r="K42" s="928" t="inlineStr">
        <is>
          <t xml:space="preserve"> </t>
        </is>
      </c>
      <c r="L42" s="859" t="n"/>
    </row>
    <row r="43">
      <c r="A43" s="474" t="n"/>
      <c r="B43" s="442" t="n"/>
      <c r="C43" s="474" t="n"/>
      <c r="D43" s="442" t="n"/>
      <c r="E43" s="474" t="n"/>
      <c r="F43" s="441" t="n"/>
      <c r="G43" s="932" t="n"/>
      <c r="H43" s="442" t="n"/>
      <c r="I43" s="474" t="n"/>
      <c r="J43" s="442" t="n"/>
      <c r="K43" s="474" t="n"/>
      <c r="L43" s="442" t="n"/>
    </row>
    <row r="44">
      <c r="A44" s="928" t="inlineStr">
        <is>
          <t xml:space="preserve"> </t>
        </is>
      </c>
      <c r="B44" s="859" t="n"/>
      <c r="C44" s="928" t="inlineStr">
        <is>
          <t xml:space="preserve"> </t>
        </is>
      </c>
      <c r="D44" s="859" t="n"/>
      <c r="E44" s="929" t="inlineStr">
        <is>
          <t xml:space="preserve"> </t>
        </is>
      </c>
      <c r="F44" s="437" t="n"/>
      <c r="G44" s="933" t="inlineStr">
        <is>
          <t xml:space="preserve"> </t>
        </is>
      </c>
      <c r="H44" s="859" t="n"/>
      <c r="I44" s="928" t="inlineStr">
        <is>
          <t xml:space="preserve"> </t>
        </is>
      </c>
      <c r="J44" s="859" t="n"/>
      <c r="K44" s="928" t="inlineStr">
        <is>
          <t xml:space="preserve"> </t>
        </is>
      </c>
      <c r="L44" s="859" t="n"/>
    </row>
    <row r="45">
      <c r="A45" s="474" t="n"/>
      <c r="B45" s="442" t="n"/>
      <c r="C45" s="474" t="n"/>
      <c r="D45" s="442" t="n"/>
      <c r="E45" s="474" t="n"/>
      <c r="F45" s="441" t="n"/>
      <c r="G45" s="932" t="n"/>
      <c r="H45" s="442" t="n"/>
      <c r="I45" s="474" t="n"/>
      <c r="J45" s="442" t="n"/>
      <c r="K45" s="474" t="n"/>
      <c r="L45" s="442" t="n"/>
    </row>
    <row r="46">
      <c r="A46" s="928" t="inlineStr">
        <is>
          <t xml:space="preserve"> </t>
        </is>
      </c>
      <c r="B46" s="859" t="n"/>
      <c r="C46" s="928" t="inlineStr">
        <is>
          <t xml:space="preserve"> </t>
        </is>
      </c>
      <c r="D46" s="859" t="n"/>
      <c r="E46" s="929" t="inlineStr">
        <is>
          <t xml:space="preserve"> </t>
        </is>
      </c>
      <c r="F46" s="437" t="n"/>
      <c r="G46" s="933" t="inlineStr">
        <is>
          <t xml:space="preserve"> </t>
        </is>
      </c>
      <c r="H46" s="859" t="n"/>
      <c r="I46" s="928" t="inlineStr">
        <is>
          <t xml:space="preserve"> </t>
        </is>
      </c>
      <c r="J46" s="859" t="n"/>
      <c r="K46" s="928" t="inlineStr">
        <is>
          <t xml:space="preserve"> </t>
        </is>
      </c>
      <c r="L46" s="859" t="n"/>
    </row>
    <row r="47">
      <c r="A47" s="474" t="n"/>
      <c r="B47" s="442" t="n"/>
      <c r="C47" s="474" t="n"/>
      <c r="D47" s="442" t="n"/>
      <c r="E47" s="474" t="n"/>
      <c r="F47" s="441" t="n"/>
      <c r="G47" s="932" t="n"/>
      <c r="H47" s="442" t="n"/>
      <c r="I47" s="474" t="n"/>
      <c r="J47" s="442" t="n"/>
      <c r="K47" s="474" t="n"/>
      <c r="L47" s="442" t="n"/>
    </row>
    <row r="48">
      <c r="A48" s="928" t="inlineStr">
        <is>
          <t xml:space="preserve"> </t>
        </is>
      </c>
      <c r="B48" s="859" t="n"/>
      <c r="C48" s="928" t="inlineStr">
        <is>
          <t xml:space="preserve"> </t>
        </is>
      </c>
      <c r="D48" s="859" t="n"/>
      <c r="E48" s="929" t="inlineStr">
        <is>
          <t xml:space="preserve"> </t>
        </is>
      </c>
      <c r="F48" s="437" t="n"/>
      <c r="G48" s="933" t="inlineStr">
        <is>
          <t xml:space="preserve"> </t>
        </is>
      </c>
      <c r="H48" s="859" t="n"/>
      <c r="I48" s="928" t="inlineStr">
        <is>
          <t xml:space="preserve"> </t>
        </is>
      </c>
      <c r="J48" s="859" t="n"/>
      <c r="K48" s="928" t="inlineStr">
        <is>
          <t xml:space="preserve"> </t>
        </is>
      </c>
      <c r="L48" s="859" t="n"/>
    </row>
    <row r="49">
      <c r="A49" s="474" t="n"/>
      <c r="B49" s="442" t="n"/>
      <c r="C49" s="474" t="n"/>
      <c r="D49" s="442" t="n"/>
      <c r="E49" s="474" t="n"/>
      <c r="F49" s="441" t="n"/>
      <c r="G49" s="932" t="n"/>
      <c r="H49" s="442" t="n"/>
      <c r="I49" s="474" t="n"/>
      <c r="J49" s="442" t="n"/>
      <c r="K49" s="474" t="n"/>
      <c r="L49" s="442" t="n"/>
    </row>
    <row r="50">
      <c r="A50" s="928" t="inlineStr">
        <is>
          <t xml:space="preserve"> </t>
        </is>
      </c>
      <c r="B50" s="859" t="n"/>
      <c r="C50" s="928" t="inlineStr">
        <is>
          <t xml:space="preserve"> </t>
        </is>
      </c>
      <c r="D50" s="859" t="n"/>
      <c r="E50" s="929" t="inlineStr">
        <is>
          <t xml:space="preserve"> </t>
        </is>
      </c>
      <c r="F50" s="437" t="n"/>
      <c r="G50" s="933" t="inlineStr">
        <is>
          <t xml:space="preserve"> </t>
        </is>
      </c>
      <c r="H50" s="859" t="n"/>
      <c r="I50" s="928" t="inlineStr">
        <is>
          <t xml:space="preserve"> </t>
        </is>
      </c>
      <c r="J50" s="859" t="n"/>
      <c r="K50" s="928" t="inlineStr">
        <is>
          <t xml:space="preserve"> </t>
        </is>
      </c>
      <c r="L50" s="859" t="n"/>
    </row>
    <row r="51">
      <c r="A51" s="474" t="n"/>
      <c r="B51" s="442" t="n"/>
      <c r="C51" s="474" t="n"/>
      <c r="D51" s="442" t="n"/>
      <c r="E51" s="474" t="n"/>
      <c r="F51" s="441" t="n"/>
      <c r="G51" s="932" t="n"/>
      <c r="H51" s="442" t="n"/>
      <c r="I51" s="474" t="n"/>
      <c r="J51" s="442" t="n"/>
      <c r="K51" s="474" t="n"/>
      <c r="L51" s="442" t="n"/>
    </row>
    <row r="52">
      <c r="A52" s="928" t="inlineStr">
        <is>
          <t xml:space="preserve"> </t>
        </is>
      </c>
      <c r="B52" s="859" t="n"/>
      <c r="C52" s="928" t="inlineStr">
        <is>
          <t xml:space="preserve"> </t>
        </is>
      </c>
      <c r="D52" s="859" t="n"/>
      <c r="E52" s="929" t="inlineStr">
        <is>
          <t xml:space="preserve"> </t>
        </is>
      </c>
      <c r="F52" s="437" t="n"/>
      <c r="G52" s="933" t="inlineStr">
        <is>
          <t xml:space="preserve"> </t>
        </is>
      </c>
      <c r="H52" s="859" t="n"/>
      <c r="I52" s="928" t="inlineStr">
        <is>
          <t xml:space="preserve"> </t>
        </is>
      </c>
      <c r="J52" s="859" t="n"/>
      <c r="K52" s="928" t="inlineStr">
        <is>
          <t xml:space="preserve"> </t>
        </is>
      </c>
      <c r="L52" s="859" t="n"/>
    </row>
    <row r="53">
      <c r="A53" s="474" t="n"/>
      <c r="B53" s="442" t="n"/>
      <c r="C53" s="474" t="n"/>
      <c r="D53" s="442" t="n"/>
      <c r="E53" s="474" t="n"/>
      <c r="F53" s="441" t="n"/>
      <c r="G53" s="932" t="n"/>
      <c r="H53" s="442" t="n"/>
      <c r="I53" s="474" t="n"/>
      <c r="J53" s="442" t="n"/>
      <c r="K53" s="474" t="n"/>
      <c r="L53" s="442" t="n"/>
    </row>
  </sheetData>
  <sheetProtection selectLockedCells="0" selectUnlockedCells="0" sheet="1" objects="1" insertRows="1" insertHyperlinks="1" autoFilter="1" scenarios="1" formatColumns="1" deleteColumns="1" insertColumns="1" pivotTables="1" deleteRows="1" formatCells="1" formatRows="1" sort="1"/>
  <mergeCells count="128">
    <mergeCell ref="A52:B53"/>
    <mergeCell ref="C52:D53"/>
    <mergeCell ref="E52:F53"/>
    <mergeCell ref="G52:H53"/>
    <mergeCell ref="I52:J53"/>
    <mergeCell ref="K52:L53"/>
    <mergeCell ref="A50:B51"/>
    <mergeCell ref="C50:D51"/>
    <mergeCell ref="E50:F51"/>
    <mergeCell ref="G50:H51"/>
    <mergeCell ref="I50:J51"/>
    <mergeCell ref="K50:L51"/>
    <mergeCell ref="A48:B49"/>
    <mergeCell ref="C48:D49"/>
    <mergeCell ref="E48:F49"/>
    <mergeCell ref="G48:H49"/>
    <mergeCell ref="I48:J49"/>
    <mergeCell ref="K48:L49"/>
    <mergeCell ref="A46:B47"/>
    <mergeCell ref="C46:D47"/>
    <mergeCell ref="E46:F47"/>
    <mergeCell ref="G46:H47"/>
    <mergeCell ref="I46:J47"/>
    <mergeCell ref="K46:L47"/>
    <mergeCell ref="A44:B45"/>
    <mergeCell ref="C44:D45"/>
    <mergeCell ref="E44:F45"/>
    <mergeCell ref="G44:H45"/>
    <mergeCell ref="I44:J45"/>
    <mergeCell ref="K44:L45"/>
    <mergeCell ref="A42:B43"/>
    <mergeCell ref="C42:D43"/>
    <mergeCell ref="E42:F43"/>
    <mergeCell ref="G42:H43"/>
    <mergeCell ref="I42:J43"/>
    <mergeCell ref="K42:L43"/>
    <mergeCell ref="A40:B41"/>
    <mergeCell ref="C40:D41"/>
    <mergeCell ref="E40:F41"/>
    <mergeCell ref="G40:H41"/>
    <mergeCell ref="I40:J41"/>
    <mergeCell ref="K40:L41"/>
    <mergeCell ref="A38:B39"/>
    <mergeCell ref="C38:D39"/>
    <mergeCell ref="E38:F39"/>
    <mergeCell ref="G38:H39"/>
    <mergeCell ref="I38:J39"/>
    <mergeCell ref="K38:L39"/>
    <mergeCell ref="A36:B37"/>
    <mergeCell ref="C36:D37"/>
    <mergeCell ref="E36:F37"/>
    <mergeCell ref="G36:H37"/>
    <mergeCell ref="I36:J37"/>
    <mergeCell ref="K36:L37"/>
    <mergeCell ref="A34:B35"/>
    <mergeCell ref="C34:D35"/>
    <mergeCell ref="E34:F35"/>
    <mergeCell ref="G34:H35"/>
    <mergeCell ref="I34:J35"/>
    <mergeCell ref="K34:L35"/>
    <mergeCell ref="A32:B33"/>
    <mergeCell ref="C32:D33"/>
    <mergeCell ref="E32:F33"/>
    <mergeCell ref="G32:H33"/>
    <mergeCell ref="I32:J33"/>
    <mergeCell ref="K32:L33"/>
    <mergeCell ref="A30:B31"/>
    <mergeCell ref="C30:D31"/>
    <mergeCell ref="E30:F31"/>
    <mergeCell ref="G30:H31"/>
    <mergeCell ref="I30:J31"/>
    <mergeCell ref="K30:L31"/>
    <mergeCell ref="A28:B29"/>
    <mergeCell ref="C28:D29"/>
    <mergeCell ref="E28:F29"/>
    <mergeCell ref="G28:H29"/>
    <mergeCell ref="I28:J29"/>
    <mergeCell ref="K28:L29"/>
    <mergeCell ref="A26:B27"/>
    <mergeCell ref="C26:D27"/>
    <mergeCell ref="E26:F27"/>
    <mergeCell ref="G26:H27"/>
    <mergeCell ref="I26:J27"/>
    <mergeCell ref="K26:L27"/>
    <mergeCell ref="A24:B25"/>
    <mergeCell ref="C24:D25"/>
    <mergeCell ref="E24:F25"/>
    <mergeCell ref="G24:H25"/>
    <mergeCell ref="I24:J25"/>
    <mergeCell ref="K24:L25"/>
    <mergeCell ref="A22:B23"/>
    <mergeCell ref="C22:D23"/>
    <mergeCell ref="E22:F23"/>
    <mergeCell ref="G22:H23"/>
    <mergeCell ref="I22:J23"/>
    <mergeCell ref="K22:L23"/>
    <mergeCell ref="A13:E14"/>
    <mergeCell ref="F13:L15"/>
    <mergeCell ref="A15:E18"/>
    <mergeCell ref="F16:L18"/>
    <mergeCell ref="A20:B21"/>
    <mergeCell ref="C20:D21"/>
    <mergeCell ref="E20:F21"/>
    <mergeCell ref="G20:H21"/>
    <mergeCell ref="I20:J21"/>
    <mergeCell ref="K20:L21"/>
    <mergeCell ref="A9:E11"/>
    <mergeCell ref="F9:L10"/>
    <mergeCell ref="F11:L12"/>
    <mergeCell ref="A12:E12"/>
    <mergeCell ref="A4:B4"/>
    <mergeCell ref="C4:G4"/>
    <mergeCell ref="H4:I4"/>
    <mergeCell ref="J4:L4"/>
    <mergeCell ref="A5:B5"/>
    <mergeCell ref="D5:E5"/>
    <mergeCell ref="F5:G5"/>
    <mergeCell ref="H5:I5"/>
    <mergeCell ref="J5:L5"/>
    <mergeCell ref="A1:A2"/>
    <mergeCell ref="B1:D1"/>
    <mergeCell ref="F1:I1"/>
    <mergeCell ref="J1:L1"/>
    <mergeCell ref="B2:D2"/>
    <mergeCell ref="E2:F2"/>
    <mergeCell ref="G2:L2"/>
    <mergeCell ref="A8:E8"/>
    <mergeCell ref="F8:L8"/>
  </mergeCells>
  <pageMargins left="0.33" right="0" top="0.3" bottom="0.3" header="0.25" footer="0.25"/>
  <pageSetup orientation="portrait" scale="89"/>
  <headerFooter alignWithMargins="0">
    <oddHeader/>
    <oddFooter>&amp;LNETWORK ADDRESS:  MPCI data\Forms\_x000a_Production_ Operation forms&amp;C                           &amp;RRETENTION REQUIREMENT:  Maintained with the _x000a_Job Packet for 3 years</oddFooter>
    <evenHeader/>
    <evenFooter/>
    <firstHeader/>
    <firstFooter/>
  </headerFooter>
</worksheet>
</file>

<file path=xl/worksheets/sheet13.xml><?xml version="1.0" encoding="utf-8"?>
<worksheet xmlns="http://schemas.openxmlformats.org/spreadsheetml/2006/main">
  <sheetPr codeName="Sheet15">
    <outlinePr summaryBelow="1" summaryRight="1"/>
    <pageSetUpPr/>
  </sheetPr>
  <dimension ref="A1:CE53"/>
  <sheetViews>
    <sheetView showGridLines="0" view="pageBreakPreview" zoomScaleNormal="100" zoomScaleSheetLayoutView="100" workbookViewId="0">
      <selection activeCell="A1" sqref="A1:A2"/>
    </sheetView>
  </sheetViews>
  <sheetFormatPr baseColWidth="8" defaultRowHeight="12.5"/>
  <cols>
    <col width="8.7265625" customWidth="1" style="662" min="1" max="12"/>
    <col width="11.1796875" customWidth="1" style="662" min="13" max="13"/>
    <col width="9.1796875" customWidth="1" style="662" min="14" max="256"/>
    <col width="8.7265625" customWidth="1" style="662" min="257" max="268"/>
    <col width="11.1796875" customWidth="1" style="662" min="269" max="269"/>
    <col width="9.1796875" customWidth="1" style="662" min="270" max="512"/>
    <col width="8.7265625" customWidth="1" style="662" min="513" max="524"/>
    <col width="11.1796875" customWidth="1" style="662" min="525" max="525"/>
    <col width="9.1796875" customWidth="1" style="662" min="526" max="768"/>
    <col width="8.7265625" customWidth="1" style="662" min="769" max="780"/>
    <col width="11.1796875" customWidth="1" style="662" min="781" max="781"/>
    <col width="9.1796875" customWidth="1" style="662" min="782" max="1024"/>
    <col width="8.7265625" customWidth="1" style="662" min="1025" max="1036"/>
    <col width="11.1796875" customWidth="1" style="662" min="1037" max="1037"/>
    <col width="9.1796875" customWidth="1" style="662" min="1038" max="1280"/>
    <col width="8.7265625" customWidth="1" style="662" min="1281" max="1292"/>
    <col width="11.1796875" customWidth="1" style="662" min="1293" max="1293"/>
    <col width="9.1796875" customWidth="1" style="662" min="1294" max="1536"/>
    <col width="8.7265625" customWidth="1" style="662" min="1537" max="1548"/>
    <col width="11.1796875" customWidth="1" style="662" min="1549" max="1549"/>
    <col width="9.1796875" customWidth="1" style="662" min="1550" max="1792"/>
    <col width="8.7265625" customWidth="1" style="662" min="1793" max="1804"/>
    <col width="11.1796875" customWidth="1" style="662" min="1805" max="1805"/>
    <col width="9.1796875" customWidth="1" style="662" min="1806" max="2048"/>
    <col width="8.7265625" customWidth="1" style="662" min="2049" max="2060"/>
    <col width="11.1796875" customWidth="1" style="662" min="2061" max="2061"/>
    <col width="9.1796875" customWidth="1" style="662" min="2062" max="2304"/>
    <col width="8.7265625" customWidth="1" style="662" min="2305" max="2316"/>
    <col width="11.1796875" customWidth="1" style="662" min="2317" max="2317"/>
    <col width="9.1796875" customWidth="1" style="662" min="2318" max="2560"/>
    <col width="8.7265625" customWidth="1" style="662" min="2561" max="2572"/>
    <col width="11.1796875" customWidth="1" style="662" min="2573" max="2573"/>
    <col width="9.1796875" customWidth="1" style="662" min="2574" max="2816"/>
    <col width="8.7265625" customWidth="1" style="662" min="2817" max="2828"/>
    <col width="11.1796875" customWidth="1" style="662" min="2829" max="2829"/>
    <col width="9.1796875" customWidth="1" style="662" min="2830" max="3072"/>
    <col width="8.7265625" customWidth="1" style="662" min="3073" max="3084"/>
    <col width="11.1796875" customWidth="1" style="662" min="3085" max="3085"/>
    <col width="9.1796875" customWidth="1" style="662" min="3086" max="3328"/>
    <col width="8.7265625" customWidth="1" style="662" min="3329" max="3340"/>
    <col width="11.1796875" customWidth="1" style="662" min="3341" max="3341"/>
    <col width="9.1796875" customWidth="1" style="662" min="3342" max="3584"/>
    <col width="8.7265625" customWidth="1" style="662" min="3585" max="3596"/>
    <col width="11.1796875" customWidth="1" style="662" min="3597" max="3597"/>
    <col width="9.1796875" customWidth="1" style="662" min="3598" max="3840"/>
    <col width="8.7265625" customWidth="1" style="662" min="3841" max="3852"/>
    <col width="11.1796875" customWidth="1" style="662" min="3853" max="3853"/>
    <col width="9.1796875" customWidth="1" style="662" min="3854" max="4096"/>
    <col width="8.7265625" customWidth="1" style="662" min="4097" max="4108"/>
    <col width="11.1796875" customWidth="1" style="662" min="4109" max="4109"/>
    <col width="9.1796875" customWidth="1" style="662" min="4110" max="4352"/>
    <col width="8.7265625" customWidth="1" style="662" min="4353" max="4364"/>
    <col width="11.1796875" customWidth="1" style="662" min="4365" max="4365"/>
    <col width="9.1796875" customWidth="1" style="662" min="4366" max="4608"/>
    <col width="8.7265625" customWidth="1" style="662" min="4609" max="4620"/>
    <col width="11.1796875" customWidth="1" style="662" min="4621" max="4621"/>
    <col width="9.1796875" customWidth="1" style="662" min="4622" max="4864"/>
    <col width="8.7265625" customWidth="1" style="662" min="4865" max="4876"/>
    <col width="11.1796875" customWidth="1" style="662" min="4877" max="4877"/>
    <col width="9.1796875" customWidth="1" style="662" min="4878" max="5120"/>
    <col width="8.7265625" customWidth="1" style="662" min="5121" max="5132"/>
    <col width="11.1796875" customWidth="1" style="662" min="5133" max="5133"/>
    <col width="9.1796875" customWidth="1" style="662" min="5134" max="5376"/>
    <col width="8.7265625" customWidth="1" style="662" min="5377" max="5388"/>
    <col width="11.1796875" customWidth="1" style="662" min="5389" max="5389"/>
    <col width="9.1796875" customWidth="1" style="662" min="5390" max="5632"/>
    <col width="8.7265625" customWidth="1" style="662" min="5633" max="5644"/>
    <col width="11.1796875" customWidth="1" style="662" min="5645" max="5645"/>
    <col width="9.1796875" customWidth="1" style="662" min="5646" max="5888"/>
    <col width="8.7265625" customWidth="1" style="662" min="5889" max="5900"/>
    <col width="11.1796875" customWidth="1" style="662" min="5901" max="5901"/>
    <col width="9.1796875" customWidth="1" style="662" min="5902" max="6144"/>
    <col width="8.7265625" customWidth="1" style="662" min="6145" max="6156"/>
    <col width="11.1796875" customWidth="1" style="662" min="6157" max="6157"/>
    <col width="9.1796875" customWidth="1" style="662" min="6158" max="6400"/>
    <col width="8.7265625" customWidth="1" style="662" min="6401" max="6412"/>
    <col width="11.1796875" customWidth="1" style="662" min="6413" max="6413"/>
    <col width="9.1796875" customWidth="1" style="662" min="6414" max="6656"/>
    <col width="8.7265625" customWidth="1" style="662" min="6657" max="6668"/>
    <col width="11.1796875" customWidth="1" style="662" min="6669" max="6669"/>
    <col width="9.1796875" customWidth="1" style="662" min="6670" max="6912"/>
    <col width="8.7265625" customWidth="1" style="662" min="6913" max="6924"/>
    <col width="11.1796875" customWidth="1" style="662" min="6925" max="6925"/>
    <col width="9.1796875" customWidth="1" style="662" min="6926" max="7168"/>
    <col width="8.7265625" customWidth="1" style="662" min="7169" max="7180"/>
    <col width="11.1796875" customWidth="1" style="662" min="7181" max="7181"/>
    <col width="9.1796875" customWidth="1" style="662" min="7182" max="7424"/>
    <col width="8.7265625" customWidth="1" style="662" min="7425" max="7436"/>
    <col width="11.1796875" customWidth="1" style="662" min="7437" max="7437"/>
    <col width="9.1796875" customWidth="1" style="662" min="7438" max="7680"/>
    <col width="8.7265625" customWidth="1" style="662" min="7681" max="7692"/>
    <col width="11.1796875" customWidth="1" style="662" min="7693" max="7693"/>
    <col width="9.1796875" customWidth="1" style="662" min="7694" max="7936"/>
    <col width="8.7265625" customWidth="1" style="662" min="7937" max="7948"/>
    <col width="11.1796875" customWidth="1" style="662" min="7949" max="7949"/>
    <col width="9.1796875" customWidth="1" style="662" min="7950" max="8192"/>
    <col width="8.7265625" customWidth="1" style="662" min="8193" max="8204"/>
    <col width="11.1796875" customWidth="1" style="662" min="8205" max="8205"/>
    <col width="9.1796875" customWidth="1" style="662" min="8206" max="8448"/>
    <col width="8.7265625" customWidth="1" style="662" min="8449" max="8460"/>
    <col width="11.1796875" customWidth="1" style="662" min="8461" max="8461"/>
    <col width="9.1796875" customWidth="1" style="662" min="8462" max="8704"/>
    <col width="8.7265625" customWidth="1" style="662" min="8705" max="8716"/>
    <col width="11.1796875" customWidth="1" style="662" min="8717" max="8717"/>
    <col width="9.1796875" customWidth="1" style="662" min="8718" max="8960"/>
    <col width="8.7265625" customWidth="1" style="662" min="8961" max="8972"/>
    <col width="11.1796875" customWidth="1" style="662" min="8973" max="8973"/>
    <col width="9.1796875" customWidth="1" style="662" min="8974" max="9216"/>
    <col width="8.7265625" customWidth="1" style="662" min="9217" max="9228"/>
    <col width="11.1796875" customWidth="1" style="662" min="9229" max="9229"/>
    <col width="9.1796875" customWidth="1" style="662" min="9230" max="9472"/>
    <col width="8.7265625" customWidth="1" style="662" min="9473" max="9484"/>
    <col width="11.1796875" customWidth="1" style="662" min="9485" max="9485"/>
    <col width="9.1796875" customWidth="1" style="662" min="9486" max="9728"/>
    <col width="8.7265625" customWidth="1" style="662" min="9729" max="9740"/>
    <col width="11.1796875" customWidth="1" style="662" min="9741" max="9741"/>
    <col width="9.1796875" customWidth="1" style="662" min="9742" max="9984"/>
    <col width="8.7265625" customWidth="1" style="662" min="9985" max="9996"/>
    <col width="11.1796875" customWidth="1" style="662" min="9997" max="9997"/>
    <col width="9.1796875" customWidth="1" style="662" min="9998" max="10240"/>
    <col width="8.7265625" customWidth="1" style="662" min="10241" max="10252"/>
    <col width="11.1796875" customWidth="1" style="662" min="10253" max="10253"/>
    <col width="9.1796875" customWidth="1" style="662" min="10254" max="10496"/>
    <col width="8.7265625" customWidth="1" style="662" min="10497" max="10508"/>
    <col width="11.1796875" customWidth="1" style="662" min="10509" max="10509"/>
    <col width="9.1796875" customWidth="1" style="662" min="10510" max="10752"/>
    <col width="8.7265625" customWidth="1" style="662" min="10753" max="10764"/>
    <col width="11.1796875" customWidth="1" style="662" min="10765" max="10765"/>
    <col width="9.1796875" customWidth="1" style="662" min="10766" max="11008"/>
    <col width="8.7265625" customWidth="1" style="662" min="11009" max="11020"/>
    <col width="11.1796875" customWidth="1" style="662" min="11021" max="11021"/>
    <col width="9.1796875" customWidth="1" style="662" min="11022" max="11264"/>
    <col width="8.7265625" customWidth="1" style="662" min="11265" max="11276"/>
    <col width="11.1796875" customWidth="1" style="662" min="11277" max="11277"/>
    <col width="9.1796875" customWidth="1" style="662" min="11278" max="11520"/>
    <col width="8.7265625" customWidth="1" style="662" min="11521" max="11532"/>
    <col width="11.1796875" customWidth="1" style="662" min="11533" max="11533"/>
    <col width="9.1796875" customWidth="1" style="662" min="11534" max="11776"/>
    <col width="8.7265625" customWidth="1" style="662" min="11777" max="11788"/>
    <col width="11.1796875" customWidth="1" style="662" min="11789" max="11789"/>
    <col width="9.1796875" customWidth="1" style="662" min="11790" max="12032"/>
    <col width="8.7265625" customWidth="1" style="662" min="12033" max="12044"/>
    <col width="11.1796875" customWidth="1" style="662" min="12045" max="12045"/>
    <col width="9.1796875" customWidth="1" style="662" min="12046" max="12288"/>
    <col width="8.7265625" customWidth="1" style="662" min="12289" max="12300"/>
    <col width="11.1796875" customWidth="1" style="662" min="12301" max="12301"/>
    <col width="9.1796875" customWidth="1" style="662" min="12302" max="12544"/>
    <col width="8.7265625" customWidth="1" style="662" min="12545" max="12556"/>
    <col width="11.1796875" customWidth="1" style="662" min="12557" max="12557"/>
    <col width="9.1796875" customWidth="1" style="662" min="12558" max="12800"/>
    <col width="8.7265625" customWidth="1" style="662" min="12801" max="12812"/>
    <col width="11.1796875" customWidth="1" style="662" min="12813" max="12813"/>
    <col width="9.1796875" customWidth="1" style="662" min="12814" max="13056"/>
    <col width="8.7265625" customWidth="1" style="662" min="13057" max="13068"/>
    <col width="11.1796875" customWidth="1" style="662" min="13069" max="13069"/>
    <col width="9.1796875" customWidth="1" style="662" min="13070" max="13312"/>
    <col width="8.7265625" customWidth="1" style="662" min="13313" max="13324"/>
    <col width="11.1796875" customWidth="1" style="662" min="13325" max="13325"/>
    <col width="9.1796875" customWidth="1" style="662" min="13326" max="13568"/>
    <col width="8.7265625" customWidth="1" style="662" min="13569" max="13580"/>
    <col width="11.1796875" customWidth="1" style="662" min="13581" max="13581"/>
    <col width="9.1796875" customWidth="1" style="662" min="13582" max="13824"/>
    <col width="8.7265625" customWidth="1" style="662" min="13825" max="13836"/>
    <col width="11.1796875" customWidth="1" style="662" min="13837" max="13837"/>
    <col width="9.1796875" customWidth="1" style="662" min="13838" max="14080"/>
    <col width="8.7265625" customWidth="1" style="662" min="14081" max="14092"/>
    <col width="11.1796875" customWidth="1" style="662" min="14093" max="14093"/>
    <col width="9.1796875" customWidth="1" style="662" min="14094" max="14336"/>
    <col width="8.7265625" customWidth="1" style="662" min="14337" max="14348"/>
    <col width="11.1796875" customWidth="1" style="662" min="14349" max="14349"/>
    <col width="9.1796875" customWidth="1" style="662" min="14350" max="14592"/>
    <col width="8.7265625" customWidth="1" style="662" min="14593" max="14604"/>
    <col width="11.1796875" customWidth="1" style="662" min="14605" max="14605"/>
    <col width="9.1796875" customWidth="1" style="662" min="14606" max="14848"/>
    <col width="8.7265625" customWidth="1" style="662" min="14849" max="14860"/>
    <col width="11.1796875" customWidth="1" style="662" min="14861" max="14861"/>
    <col width="9.1796875" customWidth="1" style="662" min="14862" max="15104"/>
    <col width="8.7265625" customWidth="1" style="662" min="15105" max="15116"/>
    <col width="11.1796875" customWidth="1" style="662" min="15117" max="15117"/>
    <col width="9.1796875" customWidth="1" style="662" min="15118" max="15360"/>
    <col width="8.7265625" customWidth="1" style="662" min="15361" max="15372"/>
    <col width="11.1796875" customWidth="1" style="662" min="15373" max="15373"/>
    <col width="9.1796875" customWidth="1" style="662" min="15374" max="15616"/>
    <col width="8.7265625" customWidth="1" style="662" min="15617" max="15628"/>
    <col width="11.1796875" customWidth="1" style="662" min="15629" max="15629"/>
    <col width="9.1796875" customWidth="1" style="662" min="15630" max="15872"/>
    <col width="8.7265625" customWidth="1" style="662" min="15873" max="15884"/>
    <col width="11.1796875" customWidth="1" style="662" min="15885" max="15885"/>
    <col width="9.1796875" customWidth="1" style="662" min="15886" max="16128"/>
    <col width="8.7265625" customWidth="1" style="662" min="16129" max="16140"/>
    <col width="11.1796875" customWidth="1" style="662" min="16141" max="16141"/>
    <col width="9.1796875" customWidth="1" style="662" min="16142" max="16384"/>
  </cols>
  <sheetData>
    <row r="1" ht="50.25" customHeight="1">
      <c r="A1" s="916" t="inlineStr">
        <is>
          <t>MPCI</t>
        </is>
      </c>
      <c r="B1" s="714" t="inlineStr">
        <is>
          <t>FEEDER LOG</t>
        </is>
      </c>
      <c r="C1" s="437" t="n"/>
      <c r="D1" s="437" t="n"/>
      <c r="E1" s="630" t="inlineStr">
        <is>
          <t>DOC:        FRM-104</t>
        </is>
      </c>
      <c r="F1" s="558" t="inlineStr">
        <is>
          <t>REVISION LEVEL: 011</t>
        </is>
      </c>
      <c r="G1" s="856" t="n"/>
      <c r="H1" s="856" t="n"/>
      <c r="I1" s="857" t="n"/>
      <c r="J1" s="560" t="inlineStr">
        <is>
          <t>ISSUE DATE: 9/30/19</t>
        </is>
      </c>
      <c r="K1" s="856" t="n"/>
      <c r="L1" s="857" t="n"/>
      <c r="M1" s="179" t="n"/>
      <c r="T1" s="46" t="n"/>
      <c r="U1" s="46" t="n"/>
      <c r="V1" s="46" t="n"/>
      <c r="W1" s="46" t="n"/>
      <c r="X1" s="46" t="n"/>
      <c r="Y1" s="46" t="n"/>
      <c r="Z1" s="46" t="n"/>
      <c r="AA1" s="46" t="n"/>
      <c r="AB1" s="46" t="n"/>
      <c r="AC1" s="46" t="n"/>
      <c r="AD1" s="46" t="n"/>
      <c r="AE1" s="46" t="n"/>
      <c r="AF1" s="46" t="n"/>
      <c r="AG1" s="46" t="n"/>
      <c r="AH1" s="46" t="n"/>
      <c r="AI1" s="46" t="n"/>
      <c r="AJ1" s="46" t="n"/>
      <c r="AK1" s="46" t="n"/>
      <c r="AL1" s="46" t="n"/>
      <c r="AM1" s="46" t="n"/>
      <c r="AN1" s="46" t="n"/>
      <c r="AO1" s="46" t="n"/>
      <c r="AP1" s="46" t="n"/>
      <c r="AQ1" s="46" t="n"/>
      <c r="AR1" s="46" t="n"/>
      <c r="AS1" s="46" t="n"/>
      <c r="AT1" s="46" t="n"/>
      <c r="AU1" s="46" t="n"/>
      <c r="AV1" s="46" t="n"/>
      <c r="AW1" s="46" t="n"/>
      <c r="AX1" s="46" t="n"/>
      <c r="AY1" s="46" t="n"/>
      <c r="AZ1" s="46" t="n"/>
      <c r="BA1" s="46" t="n"/>
      <c r="BB1" s="46" t="n"/>
      <c r="BC1" s="46" t="n"/>
      <c r="BD1" s="46" t="n"/>
      <c r="BE1" s="46" t="n"/>
      <c r="BF1" s="46" t="n"/>
      <c r="BG1" s="46" t="n"/>
      <c r="BH1" s="46" t="n"/>
      <c r="BI1" s="46" t="n"/>
      <c r="BJ1" s="46" t="n"/>
      <c r="BK1" s="46" t="n"/>
      <c r="BL1" s="46" t="n"/>
      <c r="BM1" s="46" t="n"/>
      <c r="BN1" s="46" t="n"/>
      <c r="BO1" s="46" t="n"/>
      <c r="BP1" s="46" t="n"/>
      <c r="BR1" s="46" t="n"/>
      <c r="BS1" s="46" t="n"/>
      <c r="BT1" s="46" t="n"/>
      <c r="BU1" s="46" t="n"/>
      <c r="BV1" s="46" t="n"/>
      <c r="BW1" s="46" t="n"/>
      <c r="BX1" s="46" t="n"/>
      <c r="BY1" s="46" t="n"/>
      <c r="BZ1" s="46" t="n"/>
      <c r="CA1" s="46" t="n"/>
      <c r="CB1" s="46" t="n"/>
      <c r="CC1" s="46" t="n"/>
      <c r="CD1" s="46" t="n"/>
      <c r="CE1" s="46" t="n"/>
    </row>
    <row r="2" ht="30" customHeight="1">
      <c r="A2" s="846" t="n"/>
      <c r="B2" s="917" t="inlineStr">
        <is>
          <t>Form Reviewed by: Quality Coordinator</t>
        </is>
      </c>
      <c r="C2" s="856" t="n"/>
      <c r="D2" s="857" t="n"/>
      <c r="E2" s="558" t="inlineStr">
        <is>
          <t>Form Approved by: Site Manager</t>
        </is>
      </c>
      <c r="F2" s="857" t="n"/>
      <c r="G2" s="558" t="inlineStr">
        <is>
          <t>Reference:  Feeder Operation PRO-010;                                           Process Step # 4 "Feeding"</t>
        </is>
      </c>
      <c r="H2" s="856" t="n"/>
      <c r="I2" s="856" t="n"/>
      <c r="J2" s="856" t="n"/>
      <c r="K2" s="856" t="n"/>
      <c r="L2" s="857" t="n"/>
      <c r="M2" s="179" t="n"/>
      <c r="N2" s="258" t="n"/>
      <c r="O2" s="258" t="n"/>
      <c r="T2" s="46" t="n"/>
      <c r="U2" s="46" t="n"/>
      <c r="V2" s="46" t="n"/>
      <c r="W2" s="46" t="n"/>
      <c r="X2" s="46" t="n"/>
      <c r="Y2" s="46" t="n"/>
      <c r="Z2" s="46" t="n"/>
      <c r="AA2" s="46" t="n"/>
      <c r="AB2" s="46" t="n"/>
      <c r="AC2" s="46" t="n"/>
      <c r="AD2" s="46" t="n"/>
      <c r="AE2" s="46" t="n"/>
      <c r="AF2" s="46" t="n"/>
      <c r="AG2" s="46" t="n"/>
      <c r="AH2" s="46" t="n"/>
      <c r="AI2" s="46" t="n"/>
      <c r="AJ2" s="46" t="n"/>
      <c r="AK2" s="46" t="n"/>
      <c r="AL2" s="46" t="n"/>
      <c r="AM2" s="46" t="n"/>
      <c r="AN2" s="46" t="n"/>
      <c r="AO2" s="46" t="n"/>
      <c r="AP2" s="46" t="n"/>
      <c r="AQ2" s="46" t="n"/>
      <c r="AR2" s="46" t="n"/>
      <c r="AS2" s="46" t="n"/>
      <c r="AT2" s="46" t="n"/>
      <c r="AU2" s="46" t="n"/>
      <c r="AV2" s="46" t="n"/>
      <c r="AW2" s="46" t="n"/>
      <c r="AX2" s="46" t="n"/>
      <c r="AY2" s="46" t="n"/>
      <c r="AZ2" s="46" t="n"/>
      <c r="BA2" s="46" t="n"/>
      <c r="BB2" s="46" t="n"/>
      <c r="BC2" s="46" t="n"/>
      <c r="BD2" s="46" t="n"/>
      <c r="BE2" s="46" t="n"/>
      <c r="BF2" s="46" t="n"/>
      <c r="BG2" s="46" t="n"/>
      <c r="BH2" s="46" t="n"/>
      <c r="BI2" s="46" t="n"/>
      <c r="BJ2" s="46" t="n"/>
      <c r="BK2" s="46" t="n"/>
      <c r="BL2" s="46" t="n"/>
      <c r="BM2" s="46" t="n"/>
      <c r="BN2" s="46" t="n"/>
      <c r="BO2" s="46" t="n"/>
      <c r="BP2" s="46" t="n"/>
      <c r="BR2" s="47" t="n"/>
      <c r="BS2" s="47" t="n"/>
      <c r="BT2" s="47" t="n"/>
      <c r="BU2" s="47" t="n"/>
      <c r="BV2" s="47" t="n"/>
      <c r="BW2" s="47" t="n"/>
      <c r="BX2" s="47" t="n"/>
      <c r="BY2" s="47" t="n"/>
      <c r="BZ2" s="47" t="n"/>
      <c r="CA2" s="47" t="n"/>
      <c r="CB2" s="47" t="n"/>
      <c r="CC2" s="47" t="n"/>
      <c r="CD2" s="47" t="n"/>
      <c r="CE2" s="47" t="n"/>
    </row>
    <row r="3" ht="7.5" customHeight="1">
      <c r="J3" s="653" t="n"/>
      <c r="K3" s="653" t="n"/>
      <c r="L3" s="653" t="n"/>
    </row>
    <row r="4" ht="24" customFormat="1" customHeight="1" s="248">
      <c r="A4" s="918" t="inlineStr">
        <is>
          <t>RAW MATERIAL:</t>
        </is>
      </c>
      <c r="B4" s="857" t="n"/>
      <c r="C4" s="743">
        <f>PACKET!G9</f>
        <v/>
      </c>
      <c r="D4" s="856" t="n"/>
      <c r="E4" s="856" t="n"/>
      <c r="F4" s="856" t="n"/>
      <c r="G4" s="856" t="n"/>
      <c r="H4" s="919" t="inlineStr">
        <is>
          <t>JOB NUMBER:</t>
        </is>
      </c>
      <c r="I4" s="857" t="n"/>
      <c r="J4" s="920">
        <f>PACKET!C27</f>
        <v/>
      </c>
      <c r="K4" s="856" t="n"/>
      <c r="L4" s="857" t="n"/>
    </row>
    <row r="5" ht="26.25" customFormat="1" customHeight="1" s="248">
      <c r="A5" s="918" t="inlineStr">
        <is>
          <t>LINE NUMBER:</t>
        </is>
      </c>
      <c r="B5" s="857" t="n"/>
      <c r="C5" s="259">
        <f>PACKET!C26</f>
        <v/>
      </c>
      <c r="D5" s="918" t="inlineStr">
        <is>
          <t>FEEDER NUMBER:</t>
        </is>
      </c>
      <c r="E5" s="857" t="n"/>
      <c r="F5" s="920" t="inlineStr">
        <is>
          <t>FIVE</t>
        </is>
      </c>
      <c r="G5" s="857" t="n"/>
      <c r="H5" s="919" t="inlineStr">
        <is>
          <t>T.L. APPROVAL:</t>
        </is>
      </c>
      <c r="I5" s="857" t="n"/>
      <c r="J5" s="259">
        <f>PACKET!C5</f>
        <v/>
      </c>
      <c r="K5" s="856" t="n"/>
      <c r="L5" s="857" t="n"/>
    </row>
    <row r="6" ht="9.75" customFormat="1" customHeight="1" s="248">
      <c r="A6" s="260" t="n"/>
      <c r="B6" s="260" t="n"/>
      <c r="C6" s="261" t="n"/>
      <c r="D6" s="260" t="n"/>
      <c r="E6" s="260" t="n"/>
      <c r="F6" s="262" t="n"/>
      <c r="G6" s="170" t="n"/>
      <c r="H6" s="169" t="n"/>
      <c r="I6" s="169" t="n"/>
      <c r="J6" s="263" t="n"/>
      <c r="K6" s="263" t="n"/>
      <c r="L6" s="263" t="n"/>
    </row>
    <row r="7" ht="24" customFormat="1" customHeight="1" s="248">
      <c r="A7" s="263" t="n"/>
      <c r="B7" s="264" t="n"/>
      <c r="C7" s="264" t="n"/>
      <c r="D7" s="263" t="n"/>
      <c r="E7" s="263" t="n"/>
      <c r="F7" s="263" t="n"/>
      <c r="G7" s="263" t="n"/>
      <c r="H7" s="263" t="n"/>
      <c r="I7" s="263" t="n"/>
      <c r="J7" s="264" t="n"/>
      <c r="K7" s="264" t="n"/>
      <c r="L7" s="264" t="n"/>
    </row>
    <row r="8" ht="15" customFormat="1" customHeight="1" s="248">
      <c r="A8" s="720" t="inlineStr">
        <is>
          <t>BOX, CRATE, SS, AND BOWL MATERIAL</t>
        </is>
      </c>
      <c r="B8" s="856" t="n"/>
      <c r="C8" s="856" t="n"/>
      <c r="D8" s="856" t="n"/>
      <c r="E8" s="856" t="n"/>
      <c r="F8" s="921" t="inlineStr">
        <is>
          <t>RAILCAR MATERIAL</t>
        </is>
      </c>
      <c r="G8" s="856" t="n"/>
      <c r="H8" s="856" t="n"/>
      <c r="I8" s="856" t="n"/>
      <c r="J8" s="856" t="n"/>
      <c r="K8" s="856" t="n"/>
      <c r="L8" s="857" t="n"/>
    </row>
    <row r="9" ht="15" customFormat="1" customHeight="1" s="248">
      <c r="A9" s="922" t="inlineStr">
        <is>
          <t xml:space="preserve">Throughout job, from beginning to end; record Team, Date, R #  for every Receiver of material loaded. Load material in FIFO order. When consuming multiple packages of the same receiver, only one entry is required per shift.  For Blends record every bowl number loaded. No 2nd check is necessary. </t>
        </is>
      </c>
      <c r="B9" s="437" t="n"/>
      <c r="C9" s="437" t="n"/>
      <c r="D9" s="437" t="n"/>
      <c r="E9" s="859" t="n"/>
      <c r="F9" s="923" t="inlineStr">
        <is>
          <t>When using material out of a railcar, use the Event Log to track the railcar usage. Record all other material usage on this form.</t>
        </is>
      </c>
      <c r="G9" s="437" t="n"/>
      <c r="H9" s="437" t="n"/>
      <c r="I9" s="437" t="n"/>
      <c r="J9" s="437" t="n"/>
      <c r="K9" s="437" t="n"/>
      <c r="L9" s="859" t="n"/>
    </row>
    <row r="10" ht="15" customFormat="1" customHeight="1" s="248">
      <c r="A10" s="854" t="n"/>
      <c r="E10" s="528" t="n"/>
      <c r="F10" s="474" t="n"/>
      <c r="G10" s="441" t="n"/>
      <c r="H10" s="441" t="n"/>
      <c r="I10" s="441" t="n"/>
      <c r="J10" s="441" t="n"/>
      <c r="K10" s="441" t="n"/>
      <c r="L10" s="442" t="n"/>
    </row>
    <row r="11" ht="15" customFormat="1" customHeight="1" s="248">
      <c r="A11" s="474" t="n"/>
      <c r="B11" s="441" t="n"/>
      <c r="C11" s="441" t="n"/>
      <c r="D11" s="441" t="n"/>
      <c r="E11" s="442" t="n"/>
      <c r="F11" s="923" t="inlineStr">
        <is>
          <t>At start of job; record  Car #, Comp, and R #. On the Event Log  .  The 2nd check will be completed on the Changeover Checklist.</t>
        </is>
      </c>
      <c r="G11" s="437" t="n"/>
      <c r="H11" s="437" t="n"/>
      <c r="I11" s="437" t="n"/>
      <c r="J11" s="437" t="n"/>
      <c r="K11" s="437" t="n"/>
      <c r="L11" s="859" t="n"/>
    </row>
    <row r="12" ht="15" customFormat="1" customHeight="1" s="248">
      <c r="A12" s="924" t="inlineStr">
        <is>
          <t>MISCELLANEOUS</t>
        </is>
      </c>
      <c r="B12" s="856" t="n"/>
      <c r="C12" s="856" t="n"/>
      <c r="D12" s="856" t="n"/>
      <c r="E12" s="857" t="n"/>
      <c r="F12" s="474" t="n"/>
      <c r="G12" s="441" t="n"/>
      <c r="H12" s="441" t="n"/>
      <c r="I12" s="441" t="n"/>
      <c r="J12" s="441" t="n"/>
      <c r="K12" s="441" t="n"/>
      <c r="L12" s="442" t="n"/>
    </row>
    <row r="13" ht="15" customFormat="1" customHeight="1" s="248">
      <c r="A13" s="925" t="inlineStr">
        <is>
          <t>Contact Supervision if another Feeder Log is needed!</t>
        </is>
      </c>
      <c r="B13" s="437" t="n"/>
      <c r="C13" s="437" t="n"/>
      <c r="D13" s="437" t="n"/>
      <c r="E13" s="859" t="n"/>
      <c r="F13" s="923" t="inlineStr">
        <is>
          <t>During the job; at the start of each shift, double-check that the correct railcar is being used. Ensure that the correct information of Car #, Comp and R # is recorded on the Event Log.  This must be completed within the first 60 minutes of taking the floor.</t>
        </is>
      </c>
      <c r="G13" s="437" t="n"/>
      <c r="H13" s="437" t="n"/>
      <c r="I13" s="437" t="n"/>
      <c r="J13" s="437" t="n"/>
      <c r="K13" s="437" t="n"/>
      <c r="L13" s="859" t="n"/>
    </row>
    <row r="14" ht="15" customFormat="1" customHeight="1" s="248">
      <c r="A14" s="474" t="n"/>
      <c r="B14" s="441" t="n"/>
      <c r="C14" s="441" t="n"/>
      <c r="D14" s="441" t="n"/>
      <c r="E14" s="442" t="n"/>
      <c r="F14" s="854" t="n"/>
      <c r="L14" s="528" t="n"/>
    </row>
    <row r="15" ht="15" customFormat="1" customHeight="1" s="248">
      <c r="A15" s="926" t="inlineStr">
        <is>
          <t xml:space="preserve">Remember                                                                           That all Mezzanine material loaded                                              must match each individual feeder log                                             Feeder # 8,                                                                        Notify labs (QC and Color) when changing out blends during a production run </t>
        </is>
      </c>
      <c r="B15" s="437" t="n"/>
      <c r="C15" s="437" t="n"/>
      <c r="D15" s="437" t="n"/>
      <c r="E15" s="859" t="n"/>
      <c r="F15" s="474" t="n"/>
      <c r="G15" s="441" t="n"/>
      <c r="H15" s="441" t="n"/>
      <c r="I15" s="441" t="n"/>
      <c r="J15" s="441" t="n"/>
      <c r="K15" s="441" t="n"/>
      <c r="L15" s="442" t="n"/>
    </row>
    <row r="16" ht="15" customFormat="1" customHeight="1" s="248">
      <c r="A16" s="854" t="n"/>
      <c r="E16" s="528" t="n"/>
      <c r="F16" s="927" t="inlineStr">
        <is>
          <t>During the job; after switching a compartment or railcar, record Car #, Comp.,R #, totalizer value for that feeder and time of the new compartment or railcar on the Event Log.  Have another employee double-check that the switch is correct.  That employee is to initial in the Double Check column.  This must be completed within 60 minutes of the switch.</t>
        </is>
      </c>
      <c r="G16" s="437" t="n"/>
      <c r="H16" s="437" t="n"/>
      <c r="I16" s="437" t="n"/>
      <c r="J16" s="437" t="n"/>
      <c r="K16" s="437" t="n"/>
      <c r="L16" s="859" t="n"/>
    </row>
    <row r="17" ht="15" customFormat="1" customHeight="1" s="248">
      <c r="A17" s="854" t="n"/>
      <c r="E17" s="528" t="n"/>
      <c r="F17" s="854" t="n"/>
      <c r="L17" s="528" t="n"/>
    </row>
    <row r="18" ht="27.75" customFormat="1" customHeight="1" s="248">
      <c r="A18" s="474" t="n"/>
      <c r="B18" s="441" t="n"/>
      <c r="C18" s="441" t="n"/>
      <c r="D18" s="441" t="n"/>
      <c r="E18" s="442" t="n"/>
      <c r="F18" s="854" t="n"/>
      <c r="L18" s="528" t="n"/>
    </row>
    <row r="19" ht="30" customFormat="1" customHeight="1" s="248">
      <c r="A19" s="265" t="inlineStr">
        <is>
          <t>Staged Receiver Numbers for the Job</t>
        </is>
      </c>
      <c r="B19" s="266" t="n"/>
      <c r="C19" s="266" t="n"/>
      <c r="D19" s="266" t="n"/>
      <c r="E19" s="267" t="n"/>
      <c r="F19" s="267" t="n"/>
      <c r="G19" s="585" t="inlineStr">
        <is>
          <t>Type:     Box/Crate          R/C            Blend        Supersack</t>
        </is>
      </c>
      <c r="H19" s="267" t="n"/>
      <c r="I19" s="267" t="n"/>
      <c r="J19" s="267" t="n"/>
      <c r="K19" s="267" t="n"/>
      <c r="L19" s="586" t="n"/>
    </row>
    <row r="20">
      <c r="A20" s="928" t="n"/>
      <c r="B20" s="859" t="n"/>
      <c r="C20" s="928" t="n"/>
      <c r="D20" s="859" t="n"/>
      <c r="E20" s="929" t="n"/>
      <c r="F20" s="437" t="n"/>
      <c r="G20" s="930" t="n"/>
      <c r="H20" s="528" t="n"/>
      <c r="I20" s="931" t="n"/>
      <c r="J20" s="528" t="n"/>
      <c r="K20" s="931" t="n"/>
      <c r="L20" s="528" t="n"/>
    </row>
    <row r="21">
      <c r="A21" s="474" t="n"/>
      <c r="B21" s="442" t="n"/>
      <c r="C21" s="474" t="n"/>
      <c r="D21" s="442" t="n"/>
      <c r="E21" s="474" t="n"/>
      <c r="F21" s="441" t="n"/>
      <c r="G21" s="932" t="n"/>
      <c r="H21" s="442" t="n"/>
      <c r="I21" s="474" t="n"/>
      <c r="J21" s="442" t="n"/>
      <c r="K21" s="474" t="n"/>
      <c r="L21" s="442" t="n"/>
    </row>
    <row r="22" ht="0.75" customHeight="1">
      <c r="A22" s="928" t="inlineStr">
        <is>
          <t xml:space="preserve"> </t>
        </is>
      </c>
      <c r="B22" s="859" t="n"/>
      <c r="C22" s="928" t="inlineStr">
        <is>
          <t xml:space="preserve"> </t>
        </is>
      </c>
      <c r="D22" s="859" t="n"/>
      <c r="E22" s="929" t="inlineStr">
        <is>
          <t xml:space="preserve"> </t>
        </is>
      </c>
      <c r="F22" s="437" t="n"/>
      <c r="G22" s="933" t="inlineStr">
        <is>
          <t xml:space="preserve"> </t>
        </is>
      </c>
      <c r="H22" s="859" t="n"/>
      <c r="I22" s="928" t="inlineStr">
        <is>
          <t xml:space="preserve"> </t>
        </is>
      </c>
      <c r="J22" s="859" t="n"/>
      <c r="K22" s="928" t="inlineStr">
        <is>
          <t xml:space="preserve"> </t>
        </is>
      </c>
      <c r="L22" s="859" t="n"/>
    </row>
    <row r="23" hidden="1">
      <c r="A23" s="474" t="n"/>
      <c r="B23" s="442" t="n"/>
      <c r="C23" s="474" t="n"/>
      <c r="D23" s="442" t="n"/>
      <c r="E23" s="474" t="n"/>
      <c r="F23" s="441" t="n"/>
      <c r="G23" s="932" t="n"/>
      <c r="H23" s="442" t="n"/>
      <c r="I23" s="474" t="n"/>
      <c r="J23" s="442" t="n"/>
      <c r="K23" s="474" t="n"/>
      <c r="L23" s="442" t="n"/>
    </row>
    <row r="24" ht="12.75" customHeight="1">
      <c r="A24" s="934" t="inlineStr">
        <is>
          <t>Team / Date</t>
        </is>
      </c>
      <c r="B24" s="859" t="n"/>
      <c r="C24" s="935" t="inlineStr">
        <is>
          <t>Time/initials</t>
        </is>
      </c>
      <c r="D24" s="859" t="n"/>
      <c r="E24" s="936" t="inlineStr">
        <is>
          <t>R# / Bowl #</t>
        </is>
      </c>
      <c r="F24" s="859" t="n"/>
      <c r="G24" s="934" t="inlineStr">
        <is>
          <t>Team / Date</t>
        </is>
      </c>
      <c r="H24" s="859" t="n"/>
      <c r="I24" s="935" t="inlineStr">
        <is>
          <t>Time/initials</t>
        </is>
      </c>
      <c r="J24" s="859" t="n"/>
      <c r="K24" s="936" t="inlineStr">
        <is>
          <t>R# / Bowl #</t>
        </is>
      </c>
      <c r="L24" s="859" t="n"/>
    </row>
    <row r="25" ht="12.75" customHeight="1">
      <c r="A25" s="932" t="n"/>
      <c r="B25" s="442" t="n"/>
      <c r="C25" s="474" t="n"/>
      <c r="D25" s="442" t="n"/>
      <c r="E25" s="474" t="n"/>
      <c r="F25" s="442" t="n"/>
      <c r="G25" s="932" t="n"/>
      <c r="H25" s="442" t="n"/>
      <c r="I25" s="474" t="n"/>
      <c r="J25" s="442" t="n"/>
      <c r="K25" s="474" t="n"/>
      <c r="L25" s="442" t="n"/>
    </row>
    <row r="26">
      <c r="A26" s="928" t="inlineStr">
        <is>
          <t xml:space="preserve"> </t>
        </is>
      </c>
      <c r="B26" s="859" t="n"/>
      <c r="C26" s="928" t="inlineStr">
        <is>
          <t xml:space="preserve"> </t>
        </is>
      </c>
      <c r="D26" s="859" t="n"/>
      <c r="E26" s="929" t="inlineStr">
        <is>
          <t xml:space="preserve"> </t>
        </is>
      </c>
      <c r="F26" s="437" t="n"/>
      <c r="G26" s="933" t="inlineStr">
        <is>
          <t xml:space="preserve"> </t>
        </is>
      </c>
      <c r="H26" s="859" t="n"/>
      <c r="I26" s="928" t="inlineStr">
        <is>
          <t xml:space="preserve"> </t>
        </is>
      </c>
      <c r="J26" s="859" t="n"/>
      <c r="K26" s="928" t="inlineStr">
        <is>
          <t xml:space="preserve"> </t>
        </is>
      </c>
      <c r="L26" s="859" t="n"/>
    </row>
    <row r="27">
      <c r="A27" s="474" t="n"/>
      <c r="B27" s="442" t="n"/>
      <c r="C27" s="474" t="n"/>
      <c r="D27" s="442" t="n"/>
      <c r="E27" s="474" t="n"/>
      <c r="F27" s="441" t="n"/>
      <c r="G27" s="932" t="n"/>
      <c r="H27" s="442" t="n"/>
      <c r="I27" s="474" t="n"/>
      <c r="J27" s="442" t="n"/>
      <c r="K27" s="474" t="n"/>
      <c r="L27" s="442" t="n"/>
    </row>
    <row r="28">
      <c r="A28" s="928" t="inlineStr">
        <is>
          <t xml:space="preserve"> </t>
        </is>
      </c>
      <c r="B28" s="859" t="n"/>
      <c r="C28" s="928" t="inlineStr">
        <is>
          <t xml:space="preserve"> </t>
        </is>
      </c>
      <c r="D28" s="859" t="n"/>
      <c r="E28" s="929" t="inlineStr">
        <is>
          <t xml:space="preserve"> </t>
        </is>
      </c>
      <c r="F28" s="437" t="n"/>
      <c r="G28" s="933" t="inlineStr">
        <is>
          <t xml:space="preserve"> </t>
        </is>
      </c>
      <c r="H28" s="859" t="n"/>
      <c r="I28" s="928" t="inlineStr">
        <is>
          <t xml:space="preserve"> </t>
        </is>
      </c>
      <c r="J28" s="859" t="n"/>
      <c r="K28" s="928" t="inlineStr">
        <is>
          <t xml:space="preserve"> </t>
        </is>
      </c>
      <c r="L28" s="859" t="n"/>
    </row>
    <row r="29">
      <c r="A29" s="474" t="n"/>
      <c r="B29" s="442" t="n"/>
      <c r="C29" s="474" t="n"/>
      <c r="D29" s="442" t="n"/>
      <c r="E29" s="474" t="n"/>
      <c r="F29" s="441" t="n"/>
      <c r="G29" s="932" t="n"/>
      <c r="H29" s="442" t="n"/>
      <c r="I29" s="474" t="n"/>
      <c r="J29" s="442" t="n"/>
      <c r="K29" s="474" t="n"/>
      <c r="L29" s="442" t="n"/>
    </row>
    <row r="30">
      <c r="A30" s="928" t="inlineStr">
        <is>
          <t xml:space="preserve"> </t>
        </is>
      </c>
      <c r="B30" s="859" t="n"/>
      <c r="C30" s="928" t="inlineStr">
        <is>
          <t xml:space="preserve"> </t>
        </is>
      </c>
      <c r="D30" s="859" t="n"/>
      <c r="E30" s="929" t="inlineStr">
        <is>
          <t xml:space="preserve"> </t>
        </is>
      </c>
      <c r="F30" s="437" t="n"/>
      <c r="G30" s="933" t="inlineStr">
        <is>
          <t xml:space="preserve"> </t>
        </is>
      </c>
      <c r="H30" s="859" t="n"/>
      <c r="I30" s="928" t="inlineStr">
        <is>
          <t xml:space="preserve"> </t>
        </is>
      </c>
      <c r="J30" s="859" t="n"/>
      <c r="K30" s="928" t="inlineStr">
        <is>
          <t xml:space="preserve"> </t>
        </is>
      </c>
      <c r="L30" s="859" t="n"/>
    </row>
    <row r="31">
      <c r="A31" s="474" t="n"/>
      <c r="B31" s="442" t="n"/>
      <c r="C31" s="474" t="n"/>
      <c r="D31" s="442" t="n"/>
      <c r="E31" s="474" t="n"/>
      <c r="F31" s="441" t="n"/>
      <c r="G31" s="932" t="n"/>
      <c r="H31" s="442" t="n"/>
      <c r="I31" s="474" t="n"/>
      <c r="J31" s="442" t="n"/>
      <c r="K31" s="474" t="n"/>
      <c r="L31" s="442" t="n"/>
    </row>
    <row r="32">
      <c r="A32" s="928" t="inlineStr">
        <is>
          <t xml:space="preserve"> </t>
        </is>
      </c>
      <c r="B32" s="859" t="n"/>
      <c r="C32" s="928" t="inlineStr">
        <is>
          <t xml:space="preserve"> </t>
        </is>
      </c>
      <c r="D32" s="859" t="n"/>
      <c r="E32" s="929" t="inlineStr">
        <is>
          <t xml:space="preserve"> </t>
        </is>
      </c>
      <c r="F32" s="437" t="n"/>
      <c r="G32" s="933" t="inlineStr">
        <is>
          <t xml:space="preserve"> </t>
        </is>
      </c>
      <c r="H32" s="859" t="n"/>
      <c r="I32" s="928" t="inlineStr">
        <is>
          <t xml:space="preserve"> </t>
        </is>
      </c>
      <c r="J32" s="859" t="n"/>
      <c r="K32" s="928" t="inlineStr">
        <is>
          <t xml:space="preserve"> </t>
        </is>
      </c>
      <c r="L32" s="859" t="n"/>
    </row>
    <row r="33">
      <c r="A33" s="474" t="n"/>
      <c r="B33" s="442" t="n"/>
      <c r="C33" s="474" t="n"/>
      <c r="D33" s="442" t="n"/>
      <c r="E33" s="474" t="n"/>
      <c r="F33" s="441" t="n"/>
      <c r="G33" s="932" t="n"/>
      <c r="H33" s="442" t="n"/>
      <c r="I33" s="474" t="n"/>
      <c r="J33" s="442" t="n"/>
      <c r="K33" s="474" t="n"/>
      <c r="L33" s="442" t="n"/>
    </row>
    <row r="34">
      <c r="A34" s="928" t="inlineStr">
        <is>
          <t xml:space="preserve"> </t>
        </is>
      </c>
      <c r="B34" s="859" t="n"/>
      <c r="C34" s="928" t="inlineStr">
        <is>
          <t xml:space="preserve"> </t>
        </is>
      </c>
      <c r="D34" s="859" t="n"/>
      <c r="E34" s="929" t="inlineStr">
        <is>
          <t xml:space="preserve"> </t>
        </is>
      </c>
      <c r="F34" s="437" t="n"/>
      <c r="G34" s="933" t="inlineStr">
        <is>
          <t xml:space="preserve"> </t>
        </is>
      </c>
      <c r="H34" s="859" t="n"/>
      <c r="I34" s="928" t="inlineStr">
        <is>
          <t xml:space="preserve"> </t>
        </is>
      </c>
      <c r="J34" s="859" t="n"/>
      <c r="K34" s="928" t="inlineStr">
        <is>
          <t xml:space="preserve"> </t>
        </is>
      </c>
      <c r="L34" s="859" t="n"/>
    </row>
    <row r="35">
      <c r="A35" s="474" t="n"/>
      <c r="B35" s="442" t="n"/>
      <c r="C35" s="474" t="n"/>
      <c r="D35" s="442" t="n"/>
      <c r="E35" s="474" t="n"/>
      <c r="F35" s="441" t="n"/>
      <c r="G35" s="932" t="n"/>
      <c r="H35" s="442" t="n"/>
      <c r="I35" s="474" t="n"/>
      <c r="J35" s="442" t="n"/>
      <c r="K35" s="474" t="n"/>
      <c r="L35" s="442" t="n"/>
    </row>
    <row r="36">
      <c r="A36" s="928" t="inlineStr">
        <is>
          <t xml:space="preserve"> </t>
        </is>
      </c>
      <c r="B36" s="859" t="n"/>
      <c r="C36" s="928" t="inlineStr">
        <is>
          <t xml:space="preserve"> </t>
        </is>
      </c>
      <c r="D36" s="859" t="n"/>
      <c r="E36" s="929" t="inlineStr">
        <is>
          <t xml:space="preserve"> </t>
        </is>
      </c>
      <c r="F36" s="437" t="n"/>
      <c r="G36" s="933" t="inlineStr">
        <is>
          <t xml:space="preserve"> </t>
        </is>
      </c>
      <c r="H36" s="859" t="n"/>
      <c r="I36" s="928" t="inlineStr">
        <is>
          <t xml:space="preserve"> </t>
        </is>
      </c>
      <c r="J36" s="859" t="n"/>
      <c r="K36" s="928" t="inlineStr">
        <is>
          <t xml:space="preserve"> </t>
        </is>
      </c>
      <c r="L36" s="859" t="n"/>
    </row>
    <row r="37">
      <c r="A37" s="474" t="n"/>
      <c r="B37" s="442" t="n"/>
      <c r="C37" s="474" t="n"/>
      <c r="D37" s="442" t="n"/>
      <c r="E37" s="474" t="n"/>
      <c r="F37" s="441" t="n"/>
      <c r="G37" s="932" t="n"/>
      <c r="H37" s="442" t="n"/>
      <c r="I37" s="474" t="n"/>
      <c r="J37" s="442" t="n"/>
      <c r="K37" s="474" t="n"/>
      <c r="L37" s="442" t="n"/>
    </row>
    <row r="38">
      <c r="A38" s="928" t="inlineStr">
        <is>
          <t xml:space="preserve"> </t>
        </is>
      </c>
      <c r="B38" s="859" t="n"/>
      <c r="C38" s="928" t="inlineStr">
        <is>
          <t xml:space="preserve"> </t>
        </is>
      </c>
      <c r="D38" s="859" t="n"/>
      <c r="E38" s="929" t="inlineStr">
        <is>
          <t xml:space="preserve"> </t>
        </is>
      </c>
      <c r="F38" s="437" t="n"/>
      <c r="G38" s="933" t="inlineStr">
        <is>
          <t xml:space="preserve"> </t>
        </is>
      </c>
      <c r="H38" s="859" t="n"/>
      <c r="I38" s="928" t="inlineStr">
        <is>
          <t xml:space="preserve"> </t>
        </is>
      </c>
      <c r="J38" s="859" t="n"/>
      <c r="K38" s="928" t="inlineStr">
        <is>
          <t xml:space="preserve"> </t>
        </is>
      </c>
      <c r="L38" s="859" t="n"/>
    </row>
    <row r="39">
      <c r="A39" s="474" t="n"/>
      <c r="B39" s="442" t="n"/>
      <c r="C39" s="474" t="n"/>
      <c r="D39" s="442" t="n"/>
      <c r="E39" s="474" t="n"/>
      <c r="F39" s="441" t="n"/>
      <c r="G39" s="932" t="n"/>
      <c r="H39" s="442" t="n"/>
      <c r="I39" s="474" t="n"/>
      <c r="J39" s="442" t="n"/>
      <c r="K39" s="474" t="n"/>
      <c r="L39" s="442" t="n"/>
    </row>
    <row r="40">
      <c r="A40" s="928" t="inlineStr">
        <is>
          <t xml:space="preserve"> </t>
        </is>
      </c>
      <c r="B40" s="859" t="n"/>
      <c r="C40" s="928" t="inlineStr">
        <is>
          <t xml:space="preserve"> </t>
        </is>
      </c>
      <c r="D40" s="859" t="n"/>
      <c r="E40" s="929" t="inlineStr">
        <is>
          <t xml:space="preserve"> </t>
        </is>
      </c>
      <c r="F40" s="437" t="n"/>
      <c r="G40" s="933" t="inlineStr">
        <is>
          <t xml:space="preserve"> </t>
        </is>
      </c>
      <c r="H40" s="859" t="n"/>
      <c r="I40" s="928" t="inlineStr">
        <is>
          <t xml:space="preserve"> </t>
        </is>
      </c>
      <c r="J40" s="859" t="n"/>
      <c r="K40" s="928" t="inlineStr">
        <is>
          <t xml:space="preserve"> </t>
        </is>
      </c>
      <c r="L40" s="859" t="n"/>
    </row>
    <row r="41">
      <c r="A41" s="474" t="n"/>
      <c r="B41" s="442" t="n"/>
      <c r="C41" s="474" t="n"/>
      <c r="D41" s="442" t="n"/>
      <c r="E41" s="474" t="n"/>
      <c r="F41" s="441" t="n"/>
      <c r="G41" s="932" t="n"/>
      <c r="H41" s="442" t="n"/>
      <c r="I41" s="474" t="n"/>
      <c r="J41" s="442" t="n"/>
      <c r="K41" s="474" t="n"/>
      <c r="L41" s="442" t="n"/>
    </row>
    <row r="42">
      <c r="A42" s="928" t="inlineStr">
        <is>
          <t xml:space="preserve"> </t>
        </is>
      </c>
      <c r="B42" s="859" t="n"/>
      <c r="C42" s="928" t="inlineStr">
        <is>
          <t xml:space="preserve"> </t>
        </is>
      </c>
      <c r="D42" s="859" t="n"/>
      <c r="E42" s="929" t="inlineStr">
        <is>
          <t xml:space="preserve"> </t>
        </is>
      </c>
      <c r="F42" s="437" t="n"/>
      <c r="G42" s="933" t="inlineStr">
        <is>
          <t xml:space="preserve"> </t>
        </is>
      </c>
      <c r="H42" s="859" t="n"/>
      <c r="I42" s="928" t="inlineStr">
        <is>
          <t xml:space="preserve"> </t>
        </is>
      </c>
      <c r="J42" s="859" t="n"/>
      <c r="K42" s="928" t="inlineStr">
        <is>
          <t xml:space="preserve"> </t>
        </is>
      </c>
      <c r="L42" s="859" t="n"/>
    </row>
    <row r="43">
      <c r="A43" s="474" t="n"/>
      <c r="B43" s="442" t="n"/>
      <c r="C43" s="474" t="n"/>
      <c r="D43" s="442" t="n"/>
      <c r="E43" s="474" t="n"/>
      <c r="F43" s="441" t="n"/>
      <c r="G43" s="932" t="n"/>
      <c r="H43" s="442" t="n"/>
      <c r="I43" s="474" t="n"/>
      <c r="J43" s="442" t="n"/>
      <c r="K43" s="474" t="n"/>
      <c r="L43" s="442" t="n"/>
    </row>
    <row r="44">
      <c r="A44" s="928" t="inlineStr">
        <is>
          <t xml:space="preserve"> </t>
        </is>
      </c>
      <c r="B44" s="859" t="n"/>
      <c r="C44" s="928" t="inlineStr">
        <is>
          <t xml:space="preserve"> </t>
        </is>
      </c>
      <c r="D44" s="859" t="n"/>
      <c r="E44" s="929" t="inlineStr">
        <is>
          <t xml:space="preserve"> </t>
        </is>
      </c>
      <c r="F44" s="437" t="n"/>
      <c r="G44" s="933" t="inlineStr">
        <is>
          <t xml:space="preserve"> </t>
        </is>
      </c>
      <c r="H44" s="859" t="n"/>
      <c r="I44" s="928" t="inlineStr">
        <is>
          <t xml:space="preserve"> </t>
        </is>
      </c>
      <c r="J44" s="859" t="n"/>
      <c r="K44" s="928" t="inlineStr">
        <is>
          <t xml:space="preserve"> </t>
        </is>
      </c>
      <c r="L44" s="859" t="n"/>
    </row>
    <row r="45">
      <c r="A45" s="474" t="n"/>
      <c r="B45" s="442" t="n"/>
      <c r="C45" s="474" t="n"/>
      <c r="D45" s="442" t="n"/>
      <c r="E45" s="474" t="n"/>
      <c r="F45" s="441" t="n"/>
      <c r="G45" s="932" t="n"/>
      <c r="H45" s="442" t="n"/>
      <c r="I45" s="474" t="n"/>
      <c r="J45" s="442" t="n"/>
      <c r="K45" s="474" t="n"/>
      <c r="L45" s="442" t="n"/>
    </row>
    <row r="46">
      <c r="A46" s="928" t="inlineStr">
        <is>
          <t xml:space="preserve"> </t>
        </is>
      </c>
      <c r="B46" s="859" t="n"/>
      <c r="C46" s="928" t="inlineStr">
        <is>
          <t xml:space="preserve"> </t>
        </is>
      </c>
      <c r="D46" s="859" t="n"/>
      <c r="E46" s="929" t="inlineStr">
        <is>
          <t xml:space="preserve"> </t>
        </is>
      </c>
      <c r="F46" s="437" t="n"/>
      <c r="G46" s="933" t="inlineStr">
        <is>
          <t xml:space="preserve"> </t>
        </is>
      </c>
      <c r="H46" s="859" t="n"/>
      <c r="I46" s="928" t="inlineStr">
        <is>
          <t xml:space="preserve"> </t>
        </is>
      </c>
      <c r="J46" s="859" t="n"/>
      <c r="K46" s="928" t="inlineStr">
        <is>
          <t xml:space="preserve"> </t>
        </is>
      </c>
      <c r="L46" s="859" t="n"/>
    </row>
    <row r="47">
      <c r="A47" s="474" t="n"/>
      <c r="B47" s="442" t="n"/>
      <c r="C47" s="474" t="n"/>
      <c r="D47" s="442" t="n"/>
      <c r="E47" s="474" t="n"/>
      <c r="F47" s="441" t="n"/>
      <c r="G47" s="932" t="n"/>
      <c r="H47" s="442" t="n"/>
      <c r="I47" s="474" t="n"/>
      <c r="J47" s="442" t="n"/>
      <c r="K47" s="474" t="n"/>
      <c r="L47" s="442" t="n"/>
    </row>
    <row r="48">
      <c r="A48" s="928" t="inlineStr">
        <is>
          <t xml:space="preserve"> </t>
        </is>
      </c>
      <c r="B48" s="859" t="n"/>
      <c r="C48" s="928" t="inlineStr">
        <is>
          <t xml:space="preserve"> </t>
        </is>
      </c>
      <c r="D48" s="859" t="n"/>
      <c r="E48" s="929" t="inlineStr">
        <is>
          <t xml:space="preserve"> </t>
        </is>
      </c>
      <c r="F48" s="437" t="n"/>
      <c r="G48" s="933" t="inlineStr">
        <is>
          <t xml:space="preserve"> </t>
        </is>
      </c>
      <c r="H48" s="859" t="n"/>
      <c r="I48" s="928" t="inlineStr">
        <is>
          <t xml:space="preserve"> </t>
        </is>
      </c>
      <c r="J48" s="859" t="n"/>
      <c r="K48" s="928" t="inlineStr">
        <is>
          <t xml:space="preserve"> </t>
        </is>
      </c>
      <c r="L48" s="859" t="n"/>
    </row>
    <row r="49">
      <c r="A49" s="474" t="n"/>
      <c r="B49" s="442" t="n"/>
      <c r="C49" s="474" t="n"/>
      <c r="D49" s="442" t="n"/>
      <c r="E49" s="474" t="n"/>
      <c r="F49" s="441" t="n"/>
      <c r="G49" s="932" t="n"/>
      <c r="H49" s="442" t="n"/>
      <c r="I49" s="474" t="n"/>
      <c r="J49" s="442" t="n"/>
      <c r="K49" s="474" t="n"/>
      <c r="L49" s="442" t="n"/>
    </row>
    <row r="50">
      <c r="A50" s="928" t="inlineStr">
        <is>
          <t xml:space="preserve"> </t>
        </is>
      </c>
      <c r="B50" s="859" t="n"/>
      <c r="C50" s="928" t="inlineStr">
        <is>
          <t xml:space="preserve"> </t>
        </is>
      </c>
      <c r="D50" s="859" t="n"/>
      <c r="E50" s="929" t="inlineStr">
        <is>
          <t xml:space="preserve"> </t>
        </is>
      </c>
      <c r="F50" s="437" t="n"/>
      <c r="G50" s="933" t="inlineStr">
        <is>
          <t xml:space="preserve"> </t>
        </is>
      </c>
      <c r="H50" s="859" t="n"/>
      <c r="I50" s="928" t="inlineStr">
        <is>
          <t xml:space="preserve"> </t>
        </is>
      </c>
      <c r="J50" s="859" t="n"/>
      <c r="K50" s="928" t="inlineStr">
        <is>
          <t xml:space="preserve"> </t>
        </is>
      </c>
      <c r="L50" s="859" t="n"/>
    </row>
    <row r="51">
      <c r="A51" s="474" t="n"/>
      <c r="B51" s="442" t="n"/>
      <c r="C51" s="474" t="n"/>
      <c r="D51" s="442" t="n"/>
      <c r="E51" s="474" t="n"/>
      <c r="F51" s="441" t="n"/>
      <c r="G51" s="932" t="n"/>
      <c r="H51" s="442" t="n"/>
      <c r="I51" s="474" t="n"/>
      <c r="J51" s="442" t="n"/>
      <c r="K51" s="474" t="n"/>
      <c r="L51" s="442" t="n"/>
    </row>
    <row r="52">
      <c r="A52" s="928" t="inlineStr">
        <is>
          <t xml:space="preserve"> </t>
        </is>
      </c>
      <c r="B52" s="859" t="n"/>
      <c r="C52" s="928" t="inlineStr">
        <is>
          <t xml:space="preserve"> </t>
        </is>
      </c>
      <c r="D52" s="859" t="n"/>
      <c r="E52" s="929" t="inlineStr">
        <is>
          <t xml:space="preserve"> </t>
        </is>
      </c>
      <c r="F52" s="437" t="n"/>
      <c r="G52" s="933" t="inlineStr">
        <is>
          <t xml:space="preserve"> </t>
        </is>
      </c>
      <c r="H52" s="859" t="n"/>
      <c r="I52" s="928" t="inlineStr">
        <is>
          <t xml:space="preserve"> </t>
        </is>
      </c>
      <c r="J52" s="859" t="n"/>
      <c r="K52" s="928" t="inlineStr">
        <is>
          <t xml:space="preserve"> </t>
        </is>
      </c>
      <c r="L52" s="859" t="n"/>
    </row>
    <row r="53">
      <c r="A53" s="474" t="n"/>
      <c r="B53" s="442" t="n"/>
      <c r="C53" s="474" t="n"/>
      <c r="D53" s="442" t="n"/>
      <c r="E53" s="474" t="n"/>
      <c r="F53" s="441" t="n"/>
      <c r="G53" s="932" t="n"/>
      <c r="H53" s="442" t="n"/>
      <c r="I53" s="474" t="n"/>
      <c r="J53" s="442" t="n"/>
      <c r="K53" s="474" t="n"/>
      <c r="L53" s="442" t="n"/>
    </row>
  </sheetData>
  <sheetProtection selectLockedCells="0" selectUnlockedCells="0" sheet="1" objects="1" insertRows="1" insertHyperlinks="1" autoFilter="1" scenarios="1" formatColumns="1" deleteColumns="1" insertColumns="1" pivotTables="1" deleteRows="1" formatCells="1" formatRows="1" sort="1"/>
  <mergeCells count="128">
    <mergeCell ref="A52:B53"/>
    <mergeCell ref="C52:D53"/>
    <mergeCell ref="E52:F53"/>
    <mergeCell ref="G52:H53"/>
    <mergeCell ref="I52:J53"/>
    <mergeCell ref="K52:L53"/>
    <mergeCell ref="A50:B51"/>
    <mergeCell ref="C50:D51"/>
    <mergeCell ref="E50:F51"/>
    <mergeCell ref="G50:H51"/>
    <mergeCell ref="I50:J51"/>
    <mergeCell ref="K50:L51"/>
    <mergeCell ref="A48:B49"/>
    <mergeCell ref="C48:D49"/>
    <mergeCell ref="E48:F49"/>
    <mergeCell ref="G48:H49"/>
    <mergeCell ref="I48:J49"/>
    <mergeCell ref="K48:L49"/>
    <mergeCell ref="A46:B47"/>
    <mergeCell ref="C46:D47"/>
    <mergeCell ref="E46:F47"/>
    <mergeCell ref="G46:H47"/>
    <mergeCell ref="I46:J47"/>
    <mergeCell ref="K46:L47"/>
    <mergeCell ref="A44:B45"/>
    <mergeCell ref="C44:D45"/>
    <mergeCell ref="E44:F45"/>
    <mergeCell ref="G44:H45"/>
    <mergeCell ref="I44:J45"/>
    <mergeCell ref="K44:L45"/>
    <mergeCell ref="A42:B43"/>
    <mergeCell ref="C42:D43"/>
    <mergeCell ref="E42:F43"/>
    <mergeCell ref="G42:H43"/>
    <mergeCell ref="I42:J43"/>
    <mergeCell ref="K42:L43"/>
    <mergeCell ref="A40:B41"/>
    <mergeCell ref="C40:D41"/>
    <mergeCell ref="E40:F41"/>
    <mergeCell ref="G40:H41"/>
    <mergeCell ref="I40:J41"/>
    <mergeCell ref="K40:L41"/>
    <mergeCell ref="A38:B39"/>
    <mergeCell ref="C38:D39"/>
    <mergeCell ref="E38:F39"/>
    <mergeCell ref="G38:H39"/>
    <mergeCell ref="I38:J39"/>
    <mergeCell ref="K38:L39"/>
    <mergeCell ref="A36:B37"/>
    <mergeCell ref="C36:D37"/>
    <mergeCell ref="E36:F37"/>
    <mergeCell ref="G36:H37"/>
    <mergeCell ref="I36:J37"/>
    <mergeCell ref="K36:L37"/>
    <mergeCell ref="A34:B35"/>
    <mergeCell ref="C34:D35"/>
    <mergeCell ref="E34:F35"/>
    <mergeCell ref="G34:H35"/>
    <mergeCell ref="I34:J35"/>
    <mergeCell ref="K34:L35"/>
    <mergeCell ref="A32:B33"/>
    <mergeCell ref="C32:D33"/>
    <mergeCell ref="E32:F33"/>
    <mergeCell ref="G32:H33"/>
    <mergeCell ref="I32:J33"/>
    <mergeCell ref="K32:L33"/>
    <mergeCell ref="A30:B31"/>
    <mergeCell ref="C30:D31"/>
    <mergeCell ref="E30:F31"/>
    <mergeCell ref="G30:H31"/>
    <mergeCell ref="I30:J31"/>
    <mergeCell ref="K30:L31"/>
    <mergeCell ref="A28:B29"/>
    <mergeCell ref="C28:D29"/>
    <mergeCell ref="E28:F29"/>
    <mergeCell ref="G28:H29"/>
    <mergeCell ref="I28:J29"/>
    <mergeCell ref="K28:L29"/>
    <mergeCell ref="A26:B27"/>
    <mergeCell ref="C26:D27"/>
    <mergeCell ref="E26:F27"/>
    <mergeCell ref="G26:H27"/>
    <mergeCell ref="I26:J27"/>
    <mergeCell ref="K26:L27"/>
    <mergeCell ref="A24:B25"/>
    <mergeCell ref="C24:D25"/>
    <mergeCell ref="E24:F25"/>
    <mergeCell ref="G24:H25"/>
    <mergeCell ref="I24:J25"/>
    <mergeCell ref="K24:L25"/>
    <mergeCell ref="A22:B23"/>
    <mergeCell ref="C22:D23"/>
    <mergeCell ref="E22:F23"/>
    <mergeCell ref="G22:H23"/>
    <mergeCell ref="I22:J23"/>
    <mergeCell ref="K22:L23"/>
    <mergeCell ref="A13:E14"/>
    <mergeCell ref="F13:L15"/>
    <mergeCell ref="A15:E18"/>
    <mergeCell ref="F16:L18"/>
    <mergeCell ref="A20:B21"/>
    <mergeCell ref="C20:D21"/>
    <mergeCell ref="E20:F21"/>
    <mergeCell ref="G20:H21"/>
    <mergeCell ref="I20:J21"/>
    <mergeCell ref="K20:L21"/>
    <mergeCell ref="A9:E11"/>
    <mergeCell ref="F9:L10"/>
    <mergeCell ref="F11:L12"/>
    <mergeCell ref="A12:E12"/>
    <mergeCell ref="A4:B4"/>
    <mergeCell ref="C4:G4"/>
    <mergeCell ref="H4:I4"/>
    <mergeCell ref="J4:L4"/>
    <mergeCell ref="A5:B5"/>
    <mergeCell ref="D5:E5"/>
    <mergeCell ref="F5:G5"/>
    <mergeCell ref="H5:I5"/>
    <mergeCell ref="J5:L5"/>
    <mergeCell ref="A1:A2"/>
    <mergeCell ref="B1:D1"/>
    <mergeCell ref="F1:I1"/>
    <mergeCell ref="J1:L1"/>
    <mergeCell ref="B2:D2"/>
    <mergeCell ref="E2:F2"/>
    <mergeCell ref="G2:L2"/>
    <mergeCell ref="A8:E8"/>
    <mergeCell ref="F8:L8"/>
  </mergeCells>
  <pageMargins left="0.33" right="0" top="0.3" bottom="0.3" header="0.25" footer="0.25"/>
  <pageSetup orientation="portrait" scale="89"/>
  <headerFooter alignWithMargins="0">
    <oddHeader/>
    <oddFooter>&amp;LNETWORK ADDRESS:  MPCI data\Forms\_x000a_Production_ Operation forms&amp;C                           &amp;RRETENTION REQUIREMENT:  Maintained with the _x000a_Job Packet for 3 years</oddFooter>
    <evenHeader/>
    <evenFooter/>
    <firstHeader/>
    <firstFooter/>
  </headerFooter>
</worksheet>
</file>

<file path=xl/worksheets/sheet14.xml><?xml version="1.0" encoding="utf-8"?>
<worksheet xmlns="http://schemas.openxmlformats.org/spreadsheetml/2006/main">
  <sheetPr codeName="Sheet16">
    <outlinePr summaryBelow="1" summaryRight="1"/>
    <pageSetUpPr/>
  </sheetPr>
  <dimension ref="A1:CE53"/>
  <sheetViews>
    <sheetView showGridLines="0" view="pageBreakPreview" zoomScaleNormal="100" zoomScaleSheetLayoutView="100" workbookViewId="0">
      <selection activeCell="A1" sqref="A1:A2"/>
    </sheetView>
  </sheetViews>
  <sheetFormatPr baseColWidth="8" defaultRowHeight="12.5"/>
  <cols>
    <col width="8.7265625" customWidth="1" style="662" min="1" max="12"/>
    <col width="11.1796875" customWidth="1" style="662" min="13" max="13"/>
    <col width="9.1796875" customWidth="1" style="662" min="14" max="256"/>
    <col width="8.7265625" customWidth="1" style="662" min="257" max="268"/>
    <col width="11.1796875" customWidth="1" style="662" min="269" max="269"/>
    <col width="9.1796875" customWidth="1" style="662" min="270" max="512"/>
    <col width="8.7265625" customWidth="1" style="662" min="513" max="524"/>
    <col width="11.1796875" customWidth="1" style="662" min="525" max="525"/>
    <col width="9.1796875" customWidth="1" style="662" min="526" max="768"/>
    <col width="8.7265625" customWidth="1" style="662" min="769" max="780"/>
    <col width="11.1796875" customWidth="1" style="662" min="781" max="781"/>
    <col width="9.1796875" customWidth="1" style="662" min="782" max="1024"/>
    <col width="8.7265625" customWidth="1" style="662" min="1025" max="1036"/>
    <col width="11.1796875" customWidth="1" style="662" min="1037" max="1037"/>
    <col width="9.1796875" customWidth="1" style="662" min="1038" max="1280"/>
    <col width="8.7265625" customWidth="1" style="662" min="1281" max="1292"/>
    <col width="11.1796875" customWidth="1" style="662" min="1293" max="1293"/>
    <col width="9.1796875" customWidth="1" style="662" min="1294" max="1536"/>
    <col width="8.7265625" customWidth="1" style="662" min="1537" max="1548"/>
    <col width="11.1796875" customWidth="1" style="662" min="1549" max="1549"/>
    <col width="9.1796875" customWidth="1" style="662" min="1550" max="1792"/>
    <col width="8.7265625" customWidth="1" style="662" min="1793" max="1804"/>
    <col width="11.1796875" customWidth="1" style="662" min="1805" max="1805"/>
    <col width="9.1796875" customWidth="1" style="662" min="1806" max="2048"/>
    <col width="8.7265625" customWidth="1" style="662" min="2049" max="2060"/>
    <col width="11.1796875" customWidth="1" style="662" min="2061" max="2061"/>
    <col width="9.1796875" customWidth="1" style="662" min="2062" max="2304"/>
    <col width="8.7265625" customWidth="1" style="662" min="2305" max="2316"/>
    <col width="11.1796875" customWidth="1" style="662" min="2317" max="2317"/>
    <col width="9.1796875" customWidth="1" style="662" min="2318" max="2560"/>
    <col width="8.7265625" customWidth="1" style="662" min="2561" max="2572"/>
    <col width="11.1796875" customWidth="1" style="662" min="2573" max="2573"/>
    <col width="9.1796875" customWidth="1" style="662" min="2574" max="2816"/>
    <col width="8.7265625" customWidth="1" style="662" min="2817" max="2828"/>
    <col width="11.1796875" customWidth="1" style="662" min="2829" max="2829"/>
    <col width="9.1796875" customWidth="1" style="662" min="2830" max="3072"/>
    <col width="8.7265625" customWidth="1" style="662" min="3073" max="3084"/>
    <col width="11.1796875" customWidth="1" style="662" min="3085" max="3085"/>
    <col width="9.1796875" customWidth="1" style="662" min="3086" max="3328"/>
    <col width="8.7265625" customWidth="1" style="662" min="3329" max="3340"/>
    <col width="11.1796875" customWidth="1" style="662" min="3341" max="3341"/>
    <col width="9.1796875" customWidth="1" style="662" min="3342" max="3584"/>
    <col width="8.7265625" customWidth="1" style="662" min="3585" max="3596"/>
    <col width="11.1796875" customWidth="1" style="662" min="3597" max="3597"/>
    <col width="9.1796875" customWidth="1" style="662" min="3598" max="3840"/>
    <col width="8.7265625" customWidth="1" style="662" min="3841" max="3852"/>
    <col width="11.1796875" customWidth="1" style="662" min="3853" max="3853"/>
    <col width="9.1796875" customWidth="1" style="662" min="3854" max="4096"/>
    <col width="8.7265625" customWidth="1" style="662" min="4097" max="4108"/>
    <col width="11.1796875" customWidth="1" style="662" min="4109" max="4109"/>
    <col width="9.1796875" customWidth="1" style="662" min="4110" max="4352"/>
    <col width="8.7265625" customWidth="1" style="662" min="4353" max="4364"/>
    <col width="11.1796875" customWidth="1" style="662" min="4365" max="4365"/>
    <col width="9.1796875" customWidth="1" style="662" min="4366" max="4608"/>
    <col width="8.7265625" customWidth="1" style="662" min="4609" max="4620"/>
    <col width="11.1796875" customWidth="1" style="662" min="4621" max="4621"/>
    <col width="9.1796875" customWidth="1" style="662" min="4622" max="4864"/>
    <col width="8.7265625" customWidth="1" style="662" min="4865" max="4876"/>
    <col width="11.1796875" customWidth="1" style="662" min="4877" max="4877"/>
    <col width="9.1796875" customWidth="1" style="662" min="4878" max="5120"/>
    <col width="8.7265625" customWidth="1" style="662" min="5121" max="5132"/>
    <col width="11.1796875" customWidth="1" style="662" min="5133" max="5133"/>
    <col width="9.1796875" customWidth="1" style="662" min="5134" max="5376"/>
    <col width="8.7265625" customWidth="1" style="662" min="5377" max="5388"/>
    <col width="11.1796875" customWidth="1" style="662" min="5389" max="5389"/>
    <col width="9.1796875" customWidth="1" style="662" min="5390" max="5632"/>
    <col width="8.7265625" customWidth="1" style="662" min="5633" max="5644"/>
    <col width="11.1796875" customWidth="1" style="662" min="5645" max="5645"/>
    <col width="9.1796875" customWidth="1" style="662" min="5646" max="5888"/>
    <col width="8.7265625" customWidth="1" style="662" min="5889" max="5900"/>
    <col width="11.1796875" customWidth="1" style="662" min="5901" max="5901"/>
    <col width="9.1796875" customWidth="1" style="662" min="5902" max="6144"/>
    <col width="8.7265625" customWidth="1" style="662" min="6145" max="6156"/>
    <col width="11.1796875" customWidth="1" style="662" min="6157" max="6157"/>
    <col width="9.1796875" customWidth="1" style="662" min="6158" max="6400"/>
    <col width="8.7265625" customWidth="1" style="662" min="6401" max="6412"/>
    <col width="11.1796875" customWidth="1" style="662" min="6413" max="6413"/>
    <col width="9.1796875" customWidth="1" style="662" min="6414" max="6656"/>
    <col width="8.7265625" customWidth="1" style="662" min="6657" max="6668"/>
    <col width="11.1796875" customWidth="1" style="662" min="6669" max="6669"/>
    <col width="9.1796875" customWidth="1" style="662" min="6670" max="6912"/>
    <col width="8.7265625" customWidth="1" style="662" min="6913" max="6924"/>
    <col width="11.1796875" customWidth="1" style="662" min="6925" max="6925"/>
    <col width="9.1796875" customWidth="1" style="662" min="6926" max="7168"/>
    <col width="8.7265625" customWidth="1" style="662" min="7169" max="7180"/>
    <col width="11.1796875" customWidth="1" style="662" min="7181" max="7181"/>
    <col width="9.1796875" customWidth="1" style="662" min="7182" max="7424"/>
    <col width="8.7265625" customWidth="1" style="662" min="7425" max="7436"/>
    <col width="11.1796875" customWidth="1" style="662" min="7437" max="7437"/>
    <col width="9.1796875" customWidth="1" style="662" min="7438" max="7680"/>
    <col width="8.7265625" customWidth="1" style="662" min="7681" max="7692"/>
    <col width="11.1796875" customWidth="1" style="662" min="7693" max="7693"/>
    <col width="9.1796875" customWidth="1" style="662" min="7694" max="7936"/>
    <col width="8.7265625" customWidth="1" style="662" min="7937" max="7948"/>
    <col width="11.1796875" customWidth="1" style="662" min="7949" max="7949"/>
    <col width="9.1796875" customWidth="1" style="662" min="7950" max="8192"/>
    <col width="8.7265625" customWidth="1" style="662" min="8193" max="8204"/>
    <col width="11.1796875" customWidth="1" style="662" min="8205" max="8205"/>
    <col width="9.1796875" customWidth="1" style="662" min="8206" max="8448"/>
    <col width="8.7265625" customWidth="1" style="662" min="8449" max="8460"/>
    <col width="11.1796875" customWidth="1" style="662" min="8461" max="8461"/>
    <col width="9.1796875" customWidth="1" style="662" min="8462" max="8704"/>
    <col width="8.7265625" customWidth="1" style="662" min="8705" max="8716"/>
    <col width="11.1796875" customWidth="1" style="662" min="8717" max="8717"/>
    <col width="9.1796875" customWidth="1" style="662" min="8718" max="8960"/>
    <col width="8.7265625" customWidth="1" style="662" min="8961" max="8972"/>
    <col width="11.1796875" customWidth="1" style="662" min="8973" max="8973"/>
    <col width="9.1796875" customWidth="1" style="662" min="8974" max="9216"/>
    <col width="8.7265625" customWidth="1" style="662" min="9217" max="9228"/>
    <col width="11.1796875" customWidth="1" style="662" min="9229" max="9229"/>
    <col width="9.1796875" customWidth="1" style="662" min="9230" max="9472"/>
    <col width="8.7265625" customWidth="1" style="662" min="9473" max="9484"/>
    <col width="11.1796875" customWidth="1" style="662" min="9485" max="9485"/>
    <col width="9.1796875" customWidth="1" style="662" min="9486" max="9728"/>
    <col width="8.7265625" customWidth="1" style="662" min="9729" max="9740"/>
    <col width="11.1796875" customWidth="1" style="662" min="9741" max="9741"/>
    <col width="9.1796875" customWidth="1" style="662" min="9742" max="9984"/>
    <col width="8.7265625" customWidth="1" style="662" min="9985" max="9996"/>
    <col width="11.1796875" customWidth="1" style="662" min="9997" max="9997"/>
    <col width="9.1796875" customWidth="1" style="662" min="9998" max="10240"/>
    <col width="8.7265625" customWidth="1" style="662" min="10241" max="10252"/>
    <col width="11.1796875" customWidth="1" style="662" min="10253" max="10253"/>
    <col width="9.1796875" customWidth="1" style="662" min="10254" max="10496"/>
    <col width="8.7265625" customWidth="1" style="662" min="10497" max="10508"/>
    <col width="11.1796875" customWidth="1" style="662" min="10509" max="10509"/>
    <col width="9.1796875" customWidth="1" style="662" min="10510" max="10752"/>
    <col width="8.7265625" customWidth="1" style="662" min="10753" max="10764"/>
    <col width="11.1796875" customWidth="1" style="662" min="10765" max="10765"/>
    <col width="9.1796875" customWidth="1" style="662" min="10766" max="11008"/>
    <col width="8.7265625" customWidth="1" style="662" min="11009" max="11020"/>
    <col width="11.1796875" customWidth="1" style="662" min="11021" max="11021"/>
    <col width="9.1796875" customWidth="1" style="662" min="11022" max="11264"/>
    <col width="8.7265625" customWidth="1" style="662" min="11265" max="11276"/>
    <col width="11.1796875" customWidth="1" style="662" min="11277" max="11277"/>
    <col width="9.1796875" customWidth="1" style="662" min="11278" max="11520"/>
    <col width="8.7265625" customWidth="1" style="662" min="11521" max="11532"/>
    <col width="11.1796875" customWidth="1" style="662" min="11533" max="11533"/>
    <col width="9.1796875" customWidth="1" style="662" min="11534" max="11776"/>
    <col width="8.7265625" customWidth="1" style="662" min="11777" max="11788"/>
    <col width="11.1796875" customWidth="1" style="662" min="11789" max="11789"/>
    <col width="9.1796875" customWidth="1" style="662" min="11790" max="12032"/>
    <col width="8.7265625" customWidth="1" style="662" min="12033" max="12044"/>
    <col width="11.1796875" customWidth="1" style="662" min="12045" max="12045"/>
    <col width="9.1796875" customWidth="1" style="662" min="12046" max="12288"/>
    <col width="8.7265625" customWidth="1" style="662" min="12289" max="12300"/>
    <col width="11.1796875" customWidth="1" style="662" min="12301" max="12301"/>
    <col width="9.1796875" customWidth="1" style="662" min="12302" max="12544"/>
    <col width="8.7265625" customWidth="1" style="662" min="12545" max="12556"/>
    <col width="11.1796875" customWidth="1" style="662" min="12557" max="12557"/>
    <col width="9.1796875" customWidth="1" style="662" min="12558" max="12800"/>
    <col width="8.7265625" customWidth="1" style="662" min="12801" max="12812"/>
    <col width="11.1796875" customWidth="1" style="662" min="12813" max="12813"/>
    <col width="9.1796875" customWidth="1" style="662" min="12814" max="13056"/>
    <col width="8.7265625" customWidth="1" style="662" min="13057" max="13068"/>
    <col width="11.1796875" customWidth="1" style="662" min="13069" max="13069"/>
    <col width="9.1796875" customWidth="1" style="662" min="13070" max="13312"/>
    <col width="8.7265625" customWidth="1" style="662" min="13313" max="13324"/>
    <col width="11.1796875" customWidth="1" style="662" min="13325" max="13325"/>
    <col width="9.1796875" customWidth="1" style="662" min="13326" max="13568"/>
    <col width="8.7265625" customWidth="1" style="662" min="13569" max="13580"/>
    <col width="11.1796875" customWidth="1" style="662" min="13581" max="13581"/>
    <col width="9.1796875" customWidth="1" style="662" min="13582" max="13824"/>
    <col width="8.7265625" customWidth="1" style="662" min="13825" max="13836"/>
    <col width="11.1796875" customWidth="1" style="662" min="13837" max="13837"/>
    <col width="9.1796875" customWidth="1" style="662" min="13838" max="14080"/>
    <col width="8.7265625" customWidth="1" style="662" min="14081" max="14092"/>
    <col width="11.1796875" customWidth="1" style="662" min="14093" max="14093"/>
    <col width="9.1796875" customWidth="1" style="662" min="14094" max="14336"/>
    <col width="8.7265625" customWidth="1" style="662" min="14337" max="14348"/>
    <col width="11.1796875" customWidth="1" style="662" min="14349" max="14349"/>
    <col width="9.1796875" customWidth="1" style="662" min="14350" max="14592"/>
    <col width="8.7265625" customWidth="1" style="662" min="14593" max="14604"/>
    <col width="11.1796875" customWidth="1" style="662" min="14605" max="14605"/>
    <col width="9.1796875" customWidth="1" style="662" min="14606" max="14848"/>
    <col width="8.7265625" customWidth="1" style="662" min="14849" max="14860"/>
    <col width="11.1796875" customWidth="1" style="662" min="14861" max="14861"/>
    <col width="9.1796875" customWidth="1" style="662" min="14862" max="15104"/>
    <col width="8.7265625" customWidth="1" style="662" min="15105" max="15116"/>
    <col width="11.1796875" customWidth="1" style="662" min="15117" max="15117"/>
    <col width="9.1796875" customWidth="1" style="662" min="15118" max="15360"/>
    <col width="8.7265625" customWidth="1" style="662" min="15361" max="15372"/>
    <col width="11.1796875" customWidth="1" style="662" min="15373" max="15373"/>
    <col width="9.1796875" customWidth="1" style="662" min="15374" max="15616"/>
    <col width="8.7265625" customWidth="1" style="662" min="15617" max="15628"/>
    <col width="11.1796875" customWidth="1" style="662" min="15629" max="15629"/>
    <col width="9.1796875" customWidth="1" style="662" min="15630" max="15872"/>
    <col width="8.7265625" customWidth="1" style="662" min="15873" max="15884"/>
    <col width="11.1796875" customWidth="1" style="662" min="15885" max="15885"/>
    <col width="9.1796875" customWidth="1" style="662" min="15886" max="16128"/>
    <col width="8.7265625" customWidth="1" style="662" min="16129" max="16140"/>
    <col width="11.1796875" customWidth="1" style="662" min="16141" max="16141"/>
    <col width="9.1796875" customWidth="1" style="662" min="16142" max="16384"/>
  </cols>
  <sheetData>
    <row r="1" ht="50.25" customHeight="1">
      <c r="A1" s="916" t="inlineStr">
        <is>
          <t>MPCI</t>
        </is>
      </c>
      <c r="B1" s="714" t="inlineStr">
        <is>
          <t>FEEDER LOG</t>
        </is>
      </c>
      <c r="C1" s="437" t="n"/>
      <c r="D1" s="437" t="n"/>
      <c r="E1" s="630" t="inlineStr">
        <is>
          <t>DOC:        FRM-104</t>
        </is>
      </c>
      <c r="F1" s="558" t="inlineStr">
        <is>
          <t>REVISION LEVEL: 011</t>
        </is>
      </c>
      <c r="G1" s="856" t="n"/>
      <c r="H1" s="856" t="n"/>
      <c r="I1" s="857" t="n"/>
      <c r="J1" s="560" t="inlineStr">
        <is>
          <t>ISSUE DATE: 9/30/19</t>
        </is>
      </c>
      <c r="K1" s="856" t="n"/>
      <c r="L1" s="857" t="n"/>
      <c r="M1" s="179" t="n"/>
      <c r="T1" s="46" t="n"/>
      <c r="U1" s="46" t="n"/>
      <c r="V1" s="46" t="n"/>
      <c r="W1" s="46" t="n"/>
      <c r="X1" s="46" t="n"/>
      <c r="Y1" s="46" t="n"/>
      <c r="Z1" s="46" t="n"/>
      <c r="AA1" s="46" t="n"/>
      <c r="AB1" s="46" t="n"/>
      <c r="AC1" s="46" t="n"/>
      <c r="AD1" s="46" t="n"/>
      <c r="AE1" s="46" t="n"/>
      <c r="AF1" s="46" t="n"/>
      <c r="AG1" s="46" t="n"/>
      <c r="AH1" s="46" t="n"/>
      <c r="AI1" s="46" t="n"/>
      <c r="AJ1" s="46" t="n"/>
      <c r="AK1" s="46" t="n"/>
      <c r="AL1" s="46" t="n"/>
      <c r="AM1" s="46" t="n"/>
      <c r="AN1" s="46" t="n"/>
      <c r="AO1" s="46" t="n"/>
      <c r="AP1" s="46" t="n"/>
      <c r="AQ1" s="46" t="n"/>
      <c r="AR1" s="46" t="n"/>
      <c r="AS1" s="46" t="n"/>
      <c r="AT1" s="46" t="n"/>
      <c r="AU1" s="46" t="n"/>
      <c r="AV1" s="46" t="n"/>
      <c r="AW1" s="46" t="n"/>
      <c r="AX1" s="46" t="n"/>
      <c r="AY1" s="46" t="n"/>
      <c r="AZ1" s="46" t="n"/>
      <c r="BA1" s="46" t="n"/>
      <c r="BB1" s="46" t="n"/>
      <c r="BC1" s="46" t="n"/>
      <c r="BD1" s="46" t="n"/>
      <c r="BE1" s="46" t="n"/>
      <c r="BF1" s="46" t="n"/>
      <c r="BG1" s="46" t="n"/>
      <c r="BH1" s="46" t="n"/>
      <c r="BI1" s="46" t="n"/>
      <c r="BJ1" s="46" t="n"/>
      <c r="BK1" s="46" t="n"/>
      <c r="BL1" s="46" t="n"/>
      <c r="BM1" s="46" t="n"/>
      <c r="BN1" s="46" t="n"/>
      <c r="BO1" s="46" t="n"/>
      <c r="BP1" s="46" t="n"/>
      <c r="BR1" s="46" t="n"/>
      <c r="BS1" s="46" t="n"/>
      <c r="BT1" s="46" t="n"/>
      <c r="BU1" s="46" t="n"/>
      <c r="BV1" s="46" t="n"/>
      <c r="BW1" s="46" t="n"/>
      <c r="BX1" s="46" t="n"/>
      <c r="BY1" s="46" t="n"/>
      <c r="BZ1" s="46" t="n"/>
      <c r="CA1" s="46" t="n"/>
      <c r="CB1" s="46" t="n"/>
      <c r="CC1" s="46" t="n"/>
      <c r="CD1" s="46" t="n"/>
      <c r="CE1" s="46" t="n"/>
    </row>
    <row r="2" ht="30" customHeight="1">
      <c r="A2" s="846" t="n"/>
      <c r="B2" s="917" t="inlineStr">
        <is>
          <t>Form Reviewed by: Quality Coordinator</t>
        </is>
      </c>
      <c r="C2" s="856" t="n"/>
      <c r="D2" s="857" t="n"/>
      <c r="E2" s="558" t="inlineStr">
        <is>
          <t>Form Approved by: Site Manager</t>
        </is>
      </c>
      <c r="F2" s="857" t="n"/>
      <c r="G2" s="558" t="inlineStr">
        <is>
          <t>Reference:  Feeder Operation PRO-010;                                           Process Step # 4 "Feeding"</t>
        </is>
      </c>
      <c r="H2" s="856" t="n"/>
      <c r="I2" s="856" t="n"/>
      <c r="J2" s="856" t="n"/>
      <c r="K2" s="856" t="n"/>
      <c r="L2" s="857" t="n"/>
      <c r="M2" s="179" t="n"/>
      <c r="N2" s="258" t="n"/>
      <c r="O2" s="258" t="n"/>
      <c r="T2" s="46" t="n"/>
      <c r="U2" s="46" t="n"/>
      <c r="V2" s="46" t="n"/>
      <c r="W2" s="46" t="n"/>
      <c r="X2" s="46" t="n"/>
      <c r="Y2" s="46" t="n"/>
      <c r="Z2" s="46" t="n"/>
      <c r="AA2" s="46" t="n"/>
      <c r="AB2" s="46" t="n"/>
      <c r="AC2" s="46" t="n"/>
      <c r="AD2" s="46" t="n"/>
      <c r="AE2" s="46" t="n"/>
      <c r="AF2" s="46" t="n"/>
      <c r="AG2" s="46" t="n"/>
      <c r="AH2" s="46" t="n"/>
      <c r="AI2" s="46" t="n"/>
      <c r="AJ2" s="46" t="n"/>
      <c r="AK2" s="46" t="n"/>
      <c r="AL2" s="46" t="n"/>
      <c r="AM2" s="46" t="n"/>
      <c r="AN2" s="46" t="n"/>
      <c r="AO2" s="46" t="n"/>
      <c r="AP2" s="46" t="n"/>
      <c r="AQ2" s="46" t="n"/>
      <c r="AR2" s="46" t="n"/>
      <c r="AS2" s="46" t="n"/>
      <c r="AT2" s="46" t="n"/>
      <c r="AU2" s="46" t="n"/>
      <c r="AV2" s="46" t="n"/>
      <c r="AW2" s="46" t="n"/>
      <c r="AX2" s="46" t="n"/>
      <c r="AY2" s="46" t="n"/>
      <c r="AZ2" s="46" t="n"/>
      <c r="BA2" s="46" t="n"/>
      <c r="BB2" s="46" t="n"/>
      <c r="BC2" s="46" t="n"/>
      <c r="BD2" s="46" t="n"/>
      <c r="BE2" s="46" t="n"/>
      <c r="BF2" s="46" t="n"/>
      <c r="BG2" s="46" t="n"/>
      <c r="BH2" s="46" t="n"/>
      <c r="BI2" s="46" t="n"/>
      <c r="BJ2" s="46" t="n"/>
      <c r="BK2" s="46" t="n"/>
      <c r="BL2" s="46" t="n"/>
      <c r="BM2" s="46" t="n"/>
      <c r="BN2" s="46" t="n"/>
      <c r="BO2" s="46" t="n"/>
      <c r="BP2" s="46" t="n"/>
      <c r="BR2" s="47" t="n"/>
      <c r="BS2" s="47" t="n"/>
      <c r="BT2" s="47" t="n"/>
      <c r="BU2" s="47" t="n"/>
      <c r="BV2" s="47" t="n"/>
      <c r="BW2" s="47" t="n"/>
      <c r="BX2" s="47" t="n"/>
      <c r="BY2" s="47" t="n"/>
      <c r="BZ2" s="47" t="n"/>
      <c r="CA2" s="47" t="n"/>
      <c r="CB2" s="47" t="n"/>
      <c r="CC2" s="47" t="n"/>
      <c r="CD2" s="47" t="n"/>
      <c r="CE2" s="47" t="n"/>
    </row>
    <row r="3" ht="7.5" customHeight="1">
      <c r="J3" s="653" t="n"/>
      <c r="K3" s="653" t="n"/>
      <c r="L3" s="653" t="n"/>
    </row>
    <row r="4" ht="24" customFormat="1" customHeight="1" s="248">
      <c r="A4" s="918" t="inlineStr">
        <is>
          <t>RAW MATERIAL:</t>
        </is>
      </c>
      <c r="B4" s="857" t="n"/>
      <c r="C4" s="743">
        <f>PACKET!G10</f>
        <v/>
      </c>
      <c r="D4" s="856" t="n"/>
      <c r="E4" s="856" t="n"/>
      <c r="F4" s="856" t="n"/>
      <c r="G4" s="856" t="n"/>
      <c r="H4" s="919" t="inlineStr">
        <is>
          <t>JOB NUMBER:</t>
        </is>
      </c>
      <c r="I4" s="857" t="n"/>
      <c r="J4" s="920">
        <f>PACKET!C27</f>
        <v/>
      </c>
      <c r="K4" s="856" t="n"/>
      <c r="L4" s="857" t="n"/>
    </row>
    <row r="5" ht="26.25" customFormat="1" customHeight="1" s="248">
      <c r="A5" s="918" t="inlineStr">
        <is>
          <t>LINE NUMBER:</t>
        </is>
      </c>
      <c r="B5" s="857" t="n"/>
      <c r="C5" s="259">
        <f>PACKET!C26</f>
        <v/>
      </c>
      <c r="D5" s="918" t="inlineStr">
        <is>
          <t>FEEDER NUMBER:</t>
        </is>
      </c>
      <c r="E5" s="857" t="n"/>
      <c r="F5" s="920" t="inlineStr">
        <is>
          <t>SIX</t>
        </is>
      </c>
      <c r="G5" s="857" t="n"/>
      <c r="H5" s="919" t="inlineStr">
        <is>
          <t>T.L. APPROVAL:</t>
        </is>
      </c>
      <c r="I5" s="857" t="n"/>
      <c r="J5" s="259">
        <f>PACKET!C5</f>
        <v/>
      </c>
      <c r="K5" s="856" t="n"/>
      <c r="L5" s="857" t="n"/>
    </row>
    <row r="6" ht="9.75" customFormat="1" customHeight="1" s="248">
      <c r="A6" s="260" t="n"/>
      <c r="B6" s="260" t="n"/>
      <c r="C6" s="261" t="n"/>
      <c r="D6" s="260" t="n"/>
      <c r="E6" s="260" t="n"/>
      <c r="F6" s="262" t="n"/>
      <c r="G6" s="170" t="n"/>
      <c r="H6" s="169" t="n"/>
      <c r="I6" s="169" t="n"/>
      <c r="J6" s="263" t="n"/>
      <c r="K6" s="263" t="n"/>
      <c r="L6" s="263" t="n"/>
    </row>
    <row r="7" ht="24" customFormat="1" customHeight="1" s="248">
      <c r="A7" s="263" t="n"/>
      <c r="B7" s="264" t="n"/>
      <c r="C7" s="264" t="n"/>
      <c r="D7" s="263" t="n"/>
      <c r="E7" s="263" t="n"/>
      <c r="F7" s="263" t="n"/>
      <c r="G7" s="263" t="n"/>
      <c r="H7" s="263" t="n"/>
      <c r="I7" s="263" t="n"/>
      <c r="J7" s="264" t="n"/>
      <c r="K7" s="264" t="n"/>
      <c r="L7" s="264" t="n"/>
    </row>
    <row r="8" ht="15" customFormat="1" customHeight="1" s="248">
      <c r="A8" s="720" t="inlineStr">
        <is>
          <t>BOX, CRATE, SS, AND BOWL MATERIAL</t>
        </is>
      </c>
      <c r="B8" s="856" t="n"/>
      <c r="C8" s="856" t="n"/>
      <c r="D8" s="856" t="n"/>
      <c r="E8" s="856" t="n"/>
      <c r="F8" s="921" t="inlineStr">
        <is>
          <t>RAILCAR MATERIAL</t>
        </is>
      </c>
      <c r="G8" s="856" t="n"/>
      <c r="H8" s="856" t="n"/>
      <c r="I8" s="856" t="n"/>
      <c r="J8" s="856" t="n"/>
      <c r="K8" s="856" t="n"/>
      <c r="L8" s="857" t="n"/>
    </row>
    <row r="9" ht="15" customFormat="1" customHeight="1" s="248">
      <c r="A9" s="922" t="inlineStr">
        <is>
          <t xml:space="preserve">Throughout job, from beginning to end; record Team, Date, R #  for every Receiver of material loaded. Load material in FIFO order. When consuming multiple packages of the same receiver, only one entry is required per shift.  For Blends record every bowl number loaded. No 2nd check is necessary. </t>
        </is>
      </c>
      <c r="B9" s="437" t="n"/>
      <c r="C9" s="437" t="n"/>
      <c r="D9" s="437" t="n"/>
      <c r="E9" s="859" t="n"/>
      <c r="F9" s="923" t="inlineStr">
        <is>
          <t>When using material out of a railcar, use the Event Log to track the railcar usage. Record all other material usage on this form.</t>
        </is>
      </c>
      <c r="G9" s="437" t="n"/>
      <c r="H9" s="437" t="n"/>
      <c r="I9" s="437" t="n"/>
      <c r="J9" s="437" t="n"/>
      <c r="K9" s="437" t="n"/>
      <c r="L9" s="859" t="n"/>
    </row>
    <row r="10" ht="15" customFormat="1" customHeight="1" s="248">
      <c r="A10" s="854" t="n"/>
      <c r="E10" s="528" t="n"/>
      <c r="F10" s="474" t="n"/>
      <c r="G10" s="441" t="n"/>
      <c r="H10" s="441" t="n"/>
      <c r="I10" s="441" t="n"/>
      <c r="J10" s="441" t="n"/>
      <c r="K10" s="441" t="n"/>
      <c r="L10" s="442" t="n"/>
    </row>
    <row r="11" ht="15" customFormat="1" customHeight="1" s="248">
      <c r="A11" s="474" t="n"/>
      <c r="B11" s="441" t="n"/>
      <c r="C11" s="441" t="n"/>
      <c r="D11" s="441" t="n"/>
      <c r="E11" s="442" t="n"/>
      <c r="F11" s="923" t="inlineStr">
        <is>
          <t>At start of job; record  Car #, Comp, and R #. On the Event Log  .  The 2nd check will be completed on the Changeover Checklist.</t>
        </is>
      </c>
      <c r="G11" s="437" t="n"/>
      <c r="H11" s="437" t="n"/>
      <c r="I11" s="437" t="n"/>
      <c r="J11" s="437" t="n"/>
      <c r="K11" s="437" t="n"/>
      <c r="L11" s="859" t="n"/>
    </row>
    <row r="12" ht="15" customFormat="1" customHeight="1" s="248">
      <c r="A12" s="924" t="inlineStr">
        <is>
          <t>MISCELLANEOUS</t>
        </is>
      </c>
      <c r="B12" s="856" t="n"/>
      <c r="C12" s="856" t="n"/>
      <c r="D12" s="856" t="n"/>
      <c r="E12" s="857" t="n"/>
      <c r="F12" s="474" t="n"/>
      <c r="G12" s="441" t="n"/>
      <c r="H12" s="441" t="n"/>
      <c r="I12" s="441" t="n"/>
      <c r="J12" s="441" t="n"/>
      <c r="K12" s="441" t="n"/>
      <c r="L12" s="442" t="n"/>
    </row>
    <row r="13" ht="15" customFormat="1" customHeight="1" s="248">
      <c r="A13" s="925" t="inlineStr">
        <is>
          <t>Contact Supervision if another Feeder Log is needed!</t>
        </is>
      </c>
      <c r="B13" s="437" t="n"/>
      <c r="C13" s="437" t="n"/>
      <c r="D13" s="437" t="n"/>
      <c r="E13" s="859" t="n"/>
      <c r="F13" s="923" t="inlineStr">
        <is>
          <t>During the job; at the start of each shift, double-check that the correct railcar is being used. Ensure that the correct information of Car #, Comp and R # is recorded on the Event Log.  This must be completed within the first 60 minutes of taking the floor.</t>
        </is>
      </c>
      <c r="G13" s="437" t="n"/>
      <c r="H13" s="437" t="n"/>
      <c r="I13" s="437" t="n"/>
      <c r="J13" s="437" t="n"/>
      <c r="K13" s="437" t="n"/>
      <c r="L13" s="859" t="n"/>
    </row>
    <row r="14" ht="15" customFormat="1" customHeight="1" s="248">
      <c r="A14" s="474" t="n"/>
      <c r="B14" s="441" t="n"/>
      <c r="C14" s="441" t="n"/>
      <c r="D14" s="441" t="n"/>
      <c r="E14" s="442" t="n"/>
      <c r="F14" s="854" t="n"/>
      <c r="L14" s="528" t="n"/>
    </row>
    <row r="15" ht="15" customFormat="1" customHeight="1" s="248">
      <c r="A15" s="926" t="inlineStr">
        <is>
          <t xml:space="preserve">Remember                                                                           That all Mezzanine material loaded                                              must match each individual feeder log                                             Feeder # 8,                                                                        Notify labs (QC and Color) when changing out blends during a production run </t>
        </is>
      </c>
      <c r="B15" s="437" t="n"/>
      <c r="C15" s="437" t="n"/>
      <c r="D15" s="437" t="n"/>
      <c r="E15" s="859" t="n"/>
      <c r="F15" s="474" t="n"/>
      <c r="G15" s="441" t="n"/>
      <c r="H15" s="441" t="n"/>
      <c r="I15" s="441" t="n"/>
      <c r="J15" s="441" t="n"/>
      <c r="K15" s="441" t="n"/>
      <c r="L15" s="442" t="n"/>
    </row>
    <row r="16" ht="15" customFormat="1" customHeight="1" s="248">
      <c r="A16" s="854" t="n"/>
      <c r="E16" s="528" t="n"/>
      <c r="F16" s="927" t="inlineStr">
        <is>
          <t>During the job; after switching a compartment or railcar, record Car #, Comp.,R #, totalizer value for that feeder and time of the new compartment or railcar on the Event Log.  Have another employee double-check that the switch is correct.  That employee is to initial in the Double Check column.  This must be completed within 60 minutes of the switch.</t>
        </is>
      </c>
      <c r="G16" s="437" t="n"/>
      <c r="H16" s="437" t="n"/>
      <c r="I16" s="437" t="n"/>
      <c r="J16" s="437" t="n"/>
      <c r="K16" s="437" t="n"/>
      <c r="L16" s="859" t="n"/>
    </row>
    <row r="17" ht="15" customFormat="1" customHeight="1" s="248">
      <c r="A17" s="854" t="n"/>
      <c r="E17" s="528" t="n"/>
      <c r="F17" s="854" t="n"/>
      <c r="L17" s="528" t="n"/>
    </row>
    <row r="18" ht="27.75" customFormat="1" customHeight="1" s="248">
      <c r="A18" s="474" t="n"/>
      <c r="B18" s="441" t="n"/>
      <c r="C18" s="441" t="n"/>
      <c r="D18" s="441" t="n"/>
      <c r="E18" s="442" t="n"/>
      <c r="F18" s="854" t="n"/>
      <c r="L18" s="528" t="n"/>
    </row>
    <row r="19" ht="30" customFormat="1" customHeight="1" s="248">
      <c r="A19" s="265" t="inlineStr">
        <is>
          <t>Staged Receiver Numbers for the Job</t>
        </is>
      </c>
      <c r="B19" s="266" t="n"/>
      <c r="C19" s="266" t="n"/>
      <c r="D19" s="266" t="n"/>
      <c r="E19" s="267" t="n"/>
      <c r="F19" s="267" t="n"/>
      <c r="G19" s="585" t="inlineStr">
        <is>
          <t>Type:     Box/Crate          R/C            Blend        Supersack</t>
        </is>
      </c>
      <c r="H19" s="267" t="n"/>
      <c r="I19" s="267" t="n"/>
      <c r="J19" s="267" t="n"/>
      <c r="K19" s="267" t="n"/>
      <c r="L19" s="586" t="n"/>
    </row>
    <row r="20">
      <c r="A20" s="928" t="n"/>
      <c r="B20" s="859" t="n"/>
      <c r="C20" s="928" t="n"/>
      <c r="D20" s="859" t="n"/>
      <c r="E20" s="929" t="n"/>
      <c r="F20" s="437" t="n"/>
      <c r="G20" s="930" t="n"/>
      <c r="H20" s="528" t="n"/>
      <c r="I20" s="931" t="n"/>
      <c r="J20" s="528" t="n"/>
      <c r="K20" s="931" t="n"/>
      <c r="L20" s="528" t="n"/>
    </row>
    <row r="21">
      <c r="A21" s="474" t="n"/>
      <c r="B21" s="442" t="n"/>
      <c r="C21" s="474" t="n"/>
      <c r="D21" s="442" t="n"/>
      <c r="E21" s="474" t="n"/>
      <c r="F21" s="441" t="n"/>
      <c r="G21" s="932" t="n"/>
      <c r="H21" s="442" t="n"/>
      <c r="I21" s="474" t="n"/>
      <c r="J21" s="442" t="n"/>
      <c r="K21" s="474" t="n"/>
      <c r="L21" s="442" t="n"/>
    </row>
    <row r="22" ht="0.75" customHeight="1">
      <c r="A22" s="928" t="inlineStr">
        <is>
          <t xml:space="preserve"> </t>
        </is>
      </c>
      <c r="B22" s="859" t="n"/>
      <c r="C22" s="928" t="inlineStr">
        <is>
          <t xml:space="preserve"> </t>
        </is>
      </c>
      <c r="D22" s="859" t="n"/>
      <c r="E22" s="929" t="inlineStr">
        <is>
          <t xml:space="preserve"> </t>
        </is>
      </c>
      <c r="F22" s="437" t="n"/>
      <c r="G22" s="933" t="inlineStr">
        <is>
          <t xml:space="preserve"> </t>
        </is>
      </c>
      <c r="H22" s="859" t="n"/>
      <c r="I22" s="928" t="inlineStr">
        <is>
          <t xml:space="preserve"> </t>
        </is>
      </c>
      <c r="J22" s="859" t="n"/>
      <c r="K22" s="928" t="inlineStr">
        <is>
          <t xml:space="preserve"> </t>
        </is>
      </c>
      <c r="L22" s="859" t="n"/>
    </row>
    <row r="23" hidden="1">
      <c r="A23" s="474" t="n"/>
      <c r="B23" s="442" t="n"/>
      <c r="C23" s="474" t="n"/>
      <c r="D23" s="442" t="n"/>
      <c r="E23" s="474" t="n"/>
      <c r="F23" s="441" t="n"/>
      <c r="G23" s="932" t="n"/>
      <c r="H23" s="442" t="n"/>
      <c r="I23" s="474" t="n"/>
      <c r="J23" s="442" t="n"/>
      <c r="K23" s="474" t="n"/>
      <c r="L23" s="442" t="n"/>
    </row>
    <row r="24" ht="12.75" customHeight="1">
      <c r="A24" s="934" t="inlineStr">
        <is>
          <t>Team / Date</t>
        </is>
      </c>
      <c r="B24" s="859" t="n"/>
      <c r="C24" s="935" t="inlineStr">
        <is>
          <t>Time/initials</t>
        </is>
      </c>
      <c r="D24" s="859" t="n"/>
      <c r="E24" s="936" t="inlineStr">
        <is>
          <t>R# / Bowl #</t>
        </is>
      </c>
      <c r="F24" s="859" t="n"/>
      <c r="G24" s="934" t="inlineStr">
        <is>
          <t>Team / Date</t>
        </is>
      </c>
      <c r="H24" s="859" t="n"/>
      <c r="I24" s="935" t="inlineStr">
        <is>
          <t>Time/initials</t>
        </is>
      </c>
      <c r="J24" s="859" t="n"/>
      <c r="K24" s="936" t="inlineStr">
        <is>
          <t>R# / Bowl #</t>
        </is>
      </c>
      <c r="L24" s="859" t="n"/>
    </row>
    <row r="25" ht="12.75" customHeight="1">
      <c r="A25" s="932" t="n"/>
      <c r="B25" s="442" t="n"/>
      <c r="C25" s="474" t="n"/>
      <c r="D25" s="442" t="n"/>
      <c r="E25" s="474" t="n"/>
      <c r="F25" s="442" t="n"/>
      <c r="G25" s="932" t="n"/>
      <c r="H25" s="442" t="n"/>
      <c r="I25" s="474" t="n"/>
      <c r="J25" s="442" t="n"/>
      <c r="K25" s="474" t="n"/>
      <c r="L25" s="442" t="n"/>
    </row>
    <row r="26">
      <c r="A26" s="928" t="inlineStr">
        <is>
          <t xml:space="preserve"> </t>
        </is>
      </c>
      <c r="B26" s="859" t="n"/>
      <c r="C26" s="928" t="inlineStr">
        <is>
          <t xml:space="preserve"> </t>
        </is>
      </c>
      <c r="D26" s="859" t="n"/>
      <c r="E26" s="929" t="inlineStr">
        <is>
          <t xml:space="preserve"> </t>
        </is>
      </c>
      <c r="F26" s="437" t="n"/>
      <c r="G26" s="933" t="inlineStr">
        <is>
          <t xml:space="preserve"> </t>
        </is>
      </c>
      <c r="H26" s="859" t="n"/>
      <c r="I26" s="928" t="inlineStr">
        <is>
          <t xml:space="preserve"> </t>
        </is>
      </c>
      <c r="J26" s="859" t="n"/>
      <c r="K26" s="928" t="inlineStr">
        <is>
          <t xml:space="preserve"> </t>
        </is>
      </c>
      <c r="L26" s="859" t="n"/>
    </row>
    <row r="27">
      <c r="A27" s="474" t="n"/>
      <c r="B27" s="442" t="n"/>
      <c r="C27" s="474" t="n"/>
      <c r="D27" s="442" t="n"/>
      <c r="E27" s="474" t="n"/>
      <c r="F27" s="441" t="n"/>
      <c r="G27" s="932" t="n"/>
      <c r="H27" s="442" t="n"/>
      <c r="I27" s="474" t="n"/>
      <c r="J27" s="442" t="n"/>
      <c r="K27" s="474" t="n"/>
      <c r="L27" s="442" t="n"/>
    </row>
    <row r="28">
      <c r="A28" s="928" t="inlineStr">
        <is>
          <t xml:space="preserve"> </t>
        </is>
      </c>
      <c r="B28" s="859" t="n"/>
      <c r="C28" s="928" t="inlineStr">
        <is>
          <t xml:space="preserve"> </t>
        </is>
      </c>
      <c r="D28" s="859" t="n"/>
      <c r="E28" s="929" t="inlineStr">
        <is>
          <t xml:space="preserve"> </t>
        </is>
      </c>
      <c r="F28" s="437" t="n"/>
      <c r="G28" s="933" t="inlineStr">
        <is>
          <t xml:space="preserve"> </t>
        </is>
      </c>
      <c r="H28" s="859" t="n"/>
      <c r="I28" s="928" t="inlineStr">
        <is>
          <t xml:space="preserve"> </t>
        </is>
      </c>
      <c r="J28" s="859" t="n"/>
      <c r="K28" s="928" t="inlineStr">
        <is>
          <t xml:space="preserve"> </t>
        </is>
      </c>
      <c r="L28" s="859" t="n"/>
    </row>
    <row r="29">
      <c r="A29" s="474" t="n"/>
      <c r="B29" s="442" t="n"/>
      <c r="C29" s="474" t="n"/>
      <c r="D29" s="442" t="n"/>
      <c r="E29" s="474" t="n"/>
      <c r="F29" s="441" t="n"/>
      <c r="G29" s="932" t="n"/>
      <c r="H29" s="442" t="n"/>
      <c r="I29" s="474" t="n"/>
      <c r="J29" s="442" t="n"/>
      <c r="K29" s="474" t="n"/>
      <c r="L29" s="442" t="n"/>
    </row>
    <row r="30">
      <c r="A30" s="928" t="inlineStr">
        <is>
          <t xml:space="preserve"> </t>
        </is>
      </c>
      <c r="B30" s="859" t="n"/>
      <c r="C30" s="928" t="inlineStr">
        <is>
          <t xml:space="preserve"> </t>
        </is>
      </c>
      <c r="D30" s="859" t="n"/>
      <c r="E30" s="929" t="inlineStr">
        <is>
          <t xml:space="preserve"> </t>
        </is>
      </c>
      <c r="F30" s="437" t="n"/>
      <c r="G30" s="933" t="inlineStr">
        <is>
          <t xml:space="preserve"> </t>
        </is>
      </c>
      <c r="H30" s="859" t="n"/>
      <c r="I30" s="928" t="inlineStr">
        <is>
          <t xml:space="preserve"> </t>
        </is>
      </c>
      <c r="J30" s="859" t="n"/>
      <c r="K30" s="928" t="inlineStr">
        <is>
          <t xml:space="preserve"> </t>
        </is>
      </c>
      <c r="L30" s="859" t="n"/>
    </row>
    <row r="31">
      <c r="A31" s="474" t="n"/>
      <c r="B31" s="442" t="n"/>
      <c r="C31" s="474" t="n"/>
      <c r="D31" s="442" t="n"/>
      <c r="E31" s="474" t="n"/>
      <c r="F31" s="441" t="n"/>
      <c r="G31" s="932" t="n"/>
      <c r="H31" s="442" t="n"/>
      <c r="I31" s="474" t="n"/>
      <c r="J31" s="442" t="n"/>
      <c r="K31" s="474" t="n"/>
      <c r="L31" s="442" t="n"/>
    </row>
    <row r="32">
      <c r="A32" s="928" t="inlineStr">
        <is>
          <t xml:space="preserve"> </t>
        </is>
      </c>
      <c r="B32" s="859" t="n"/>
      <c r="C32" s="928" t="inlineStr">
        <is>
          <t xml:space="preserve"> </t>
        </is>
      </c>
      <c r="D32" s="859" t="n"/>
      <c r="E32" s="929" t="inlineStr">
        <is>
          <t xml:space="preserve"> </t>
        </is>
      </c>
      <c r="F32" s="437" t="n"/>
      <c r="G32" s="933" t="inlineStr">
        <is>
          <t xml:space="preserve"> </t>
        </is>
      </c>
      <c r="H32" s="859" t="n"/>
      <c r="I32" s="928" t="inlineStr">
        <is>
          <t xml:space="preserve"> </t>
        </is>
      </c>
      <c r="J32" s="859" t="n"/>
      <c r="K32" s="928" t="inlineStr">
        <is>
          <t xml:space="preserve"> </t>
        </is>
      </c>
      <c r="L32" s="859" t="n"/>
    </row>
    <row r="33">
      <c r="A33" s="474" t="n"/>
      <c r="B33" s="442" t="n"/>
      <c r="C33" s="474" t="n"/>
      <c r="D33" s="442" t="n"/>
      <c r="E33" s="474" t="n"/>
      <c r="F33" s="441" t="n"/>
      <c r="G33" s="932" t="n"/>
      <c r="H33" s="442" t="n"/>
      <c r="I33" s="474" t="n"/>
      <c r="J33" s="442" t="n"/>
      <c r="K33" s="474" t="n"/>
      <c r="L33" s="442" t="n"/>
    </row>
    <row r="34">
      <c r="A34" s="928" t="inlineStr">
        <is>
          <t xml:space="preserve"> </t>
        </is>
      </c>
      <c r="B34" s="859" t="n"/>
      <c r="C34" s="928" t="inlineStr">
        <is>
          <t xml:space="preserve"> </t>
        </is>
      </c>
      <c r="D34" s="859" t="n"/>
      <c r="E34" s="929" t="inlineStr">
        <is>
          <t xml:space="preserve"> </t>
        </is>
      </c>
      <c r="F34" s="437" t="n"/>
      <c r="G34" s="933" t="inlineStr">
        <is>
          <t xml:space="preserve"> </t>
        </is>
      </c>
      <c r="H34" s="859" t="n"/>
      <c r="I34" s="928" t="inlineStr">
        <is>
          <t xml:space="preserve"> </t>
        </is>
      </c>
      <c r="J34" s="859" t="n"/>
      <c r="K34" s="928" t="inlineStr">
        <is>
          <t xml:space="preserve"> </t>
        </is>
      </c>
      <c r="L34" s="859" t="n"/>
    </row>
    <row r="35">
      <c r="A35" s="474" t="n"/>
      <c r="B35" s="442" t="n"/>
      <c r="C35" s="474" t="n"/>
      <c r="D35" s="442" t="n"/>
      <c r="E35" s="474" t="n"/>
      <c r="F35" s="441" t="n"/>
      <c r="G35" s="932" t="n"/>
      <c r="H35" s="442" t="n"/>
      <c r="I35" s="474" t="n"/>
      <c r="J35" s="442" t="n"/>
      <c r="K35" s="474" t="n"/>
      <c r="L35" s="442" t="n"/>
    </row>
    <row r="36">
      <c r="A36" s="928" t="inlineStr">
        <is>
          <t xml:space="preserve"> </t>
        </is>
      </c>
      <c r="B36" s="859" t="n"/>
      <c r="C36" s="928" t="inlineStr">
        <is>
          <t xml:space="preserve"> </t>
        </is>
      </c>
      <c r="D36" s="859" t="n"/>
      <c r="E36" s="929" t="inlineStr">
        <is>
          <t xml:space="preserve"> </t>
        </is>
      </c>
      <c r="F36" s="437" t="n"/>
      <c r="G36" s="933" t="inlineStr">
        <is>
          <t xml:space="preserve"> </t>
        </is>
      </c>
      <c r="H36" s="859" t="n"/>
      <c r="I36" s="928" t="inlineStr">
        <is>
          <t xml:space="preserve"> </t>
        </is>
      </c>
      <c r="J36" s="859" t="n"/>
      <c r="K36" s="928" t="inlineStr">
        <is>
          <t xml:space="preserve"> </t>
        </is>
      </c>
      <c r="L36" s="859" t="n"/>
    </row>
    <row r="37">
      <c r="A37" s="474" t="n"/>
      <c r="B37" s="442" t="n"/>
      <c r="C37" s="474" t="n"/>
      <c r="D37" s="442" t="n"/>
      <c r="E37" s="474" t="n"/>
      <c r="F37" s="441" t="n"/>
      <c r="G37" s="932" t="n"/>
      <c r="H37" s="442" t="n"/>
      <c r="I37" s="474" t="n"/>
      <c r="J37" s="442" t="n"/>
      <c r="K37" s="474" t="n"/>
      <c r="L37" s="442" t="n"/>
    </row>
    <row r="38">
      <c r="A38" s="928" t="inlineStr">
        <is>
          <t xml:space="preserve"> </t>
        </is>
      </c>
      <c r="B38" s="859" t="n"/>
      <c r="C38" s="928" t="inlineStr">
        <is>
          <t xml:space="preserve"> </t>
        </is>
      </c>
      <c r="D38" s="859" t="n"/>
      <c r="E38" s="929" t="inlineStr">
        <is>
          <t xml:space="preserve"> </t>
        </is>
      </c>
      <c r="F38" s="437" t="n"/>
      <c r="G38" s="933" t="inlineStr">
        <is>
          <t xml:space="preserve"> </t>
        </is>
      </c>
      <c r="H38" s="859" t="n"/>
      <c r="I38" s="928" t="inlineStr">
        <is>
          <t xml:space="preserve"> </t>
        </is>
      </c>
      <c r="J38" s="859" t="n"/>
      <c r="K38" s="928" t="inlineStr">
        <is>
          <t xml:space="preserve"> </t>
        </is>
      </c>
      <c r="L38" s="859" t="n"/>
    </row>
    <row r="39">
      <c r="A39" s="474" t="n"/>
      <c r="B39" s="442" t="n"/>
      <c r="C39" s="474" t="n"/>
      <c r="D39" s="442" t="n"/>
      <c r="E39" s="474" t="n"/>
      <c r="F39" s="441" t="n"/>
      <c r="G39" s="932" t="n"/>
      <c r="H39" s="442" t="n"/>
      <c r="I39" s="474" t="n"/>
      <c r="J39" s="442" t="n"/>
      <c r="K39" s="474" t="n"/>
      <c r="L39" s="442" t="n"/>
    </row>
    <row r="40">
      <c r="A40" s="928" t="inlineStr">
        <is>
          <t xml:space="preserve"> </t>
        </is>
      </c>
      <c r="B40" s="859" t="n"/>
      <c r="C40" s="928" t="inlineStr">
        <is>
          <t xml:space="preserve"> </t>
        </is>
      </c>
      <c r="D40" s="859" t="n"/>
      <c r="E40" s="929" t="inlineStr">
        <is>
          <t xml:space="preserve"> </t>
        </is>
      </c>
      <c r="F40" s="437" t="n"/>
      <c r="G40" s="933" t="inlineStr">
        <is>
          <t xml:space="preserve"> </t>
        </is>
      </c>
      <c r="H40" s="859" t="n"/>
      <c r="I40" s="928" t="inlineStr">
        <is>
          <t xml:space="preserve"> </t>
        </is>
      </c>
      <c r="J40" s="859" t="n"/>
      <c r="K40" s="928" t="inlineStr">
        <is>
          <t xml:space="preserve"> </t>
        </is>
      </c>
      <c r="L40" s="859" t="n"/>
    </row>
    <row r="41">
      <c r="A41" s="474" t="n"/>
      <c r="B41" s="442" t="n"/>
      <c r="C41" s="474" t="n"/>
      <c r="D41" s="442" t="n"/>
      <c r="E41" s="474" t="n"/>
      <c r="F41" s="441" t="n"/>
      <c r="G41" s="932" t="n"/>
      <c r="H41" s="442" t="n"/>
      <c r="I41" s="474" t="n"/>
      <c r="J41" s="442" t="n"/>
      <c r="K41" s="474" t="n"/>
      <c r="L41" s="442" t="n"/>
    </row>
    <row r="42">
      <c r="A42" s="928" t="inlineStr">
        <is>
          <t xml:space="preserve"> </t>
        </is>
      </c>
      <c r="B42" s="859" t="n"/>
      <c r="C42" s="928" t="inlineStr">
        <is>
          <t xml:space="preserve"> </t>
        </is>
      </c>
      <c r="D42" s="859" t="n"/>
      <c r="E42" s="929" t="inlineStr">
        <is>
          <t xml:space="preserve"> </t>
        </is>
      </c>
      <c r="F42" s="437" t="n"/>
      <c r="G42" s="933" t="inlineStr">
        <is>
          <t xml:space="preserve"> </t>
        </is>
      </c>
      <c r="H42" s="859" t="n"/>
      <c r="I42" s="928" t="inlineStr">
        <is>
          <t xml:space="preserve"> </t>
        </is>
      </c>
      <c r="J42" s="859" t="n"/>
      <c r="K42" s="928" t="inlineStr">
        <is>
          <t xml:space="preserve"> </t>
        </is>
      </c>
      <c r="L42" s="859" t="n"/>
    </row>
    <row r="43">
      <c r="A43" s="474" t="n"/>
      <c r="B43" s="442" t="n"/>
      <c r="C43" s="474" t="n"/>
      <c r="D43" s="442" t="n"/>
      <c r="E43" s="474" t="n"/>
      <c r="F43" s="441" t="n"/>
      <c r="G43" s="932" t="n"/>
      <c r="H43" s="442" t="n"/>
      <c r="I43" s="474" t="n"/>
      <c r="J43" s="442" t="n"/>
      <c r="K43" s="474" t="n"/>
      <c r="L43" s="442" t="n"/>
    </row>
    <row r="44">
      <c r="A44" s="928" t="inlineStr">
        <is>
          <t xml:space="preserve"> </t>
        </is>
      </c>
      <c r="B44" s="859" t="n"/>
      <c r="C44" s="928" t="inlineStr">
        <is>
          <t xml:space="preserve"> </t>
        </is>
      </c>
      <c r="D44" s="859" t="n"/>
      <c r="E44" s="929" t="inlineStr">
        <is>
          <t xml:space="preserve"> </t>
        </is>
      </c>
      <c r="F44" s="437" t="n"/>
      <c r="G44" s="933" t="inlineStr">
        <is>
          <t xml:space="preserve"> </t>
        </is>
      </c>
      <c r="H44" s="859" t="n"/>
      <c r="I44" s="928" t="inlineStr">
        <is>
          <t xml:space="preserve"> </t>
        </is>
      </c>
      <c r="J44" s="859" t="n"/>
      <c r="K44" s="928" t="inlineStr">
        <is>
          <t xml:space="preserve"> </t>
        </is>
      </c>
      <c r="L44" s="859" t="n"/>
    </row>
    <row r="45">
      <c r="A45" s="474" t="n"/>
      <c r="B45" s="442" t="n"/>
      <c r="C45" s="474" t="n"/>
      <c r="D45" s="442" t="n"/>
      <c r="E45" s="474" t="n"/>
      <c r="F45" s="441" t="n"/>
      <c r="G45" s="932" t="n"/>
      <c r="H45" s="442" t="n"/>
      <c r="I45" s="474" t="n"/>
      <c r="J45" s="442" t="n"/>
      <c r="K45" s="474" t="n"/>
      <c r="L45" s="442" t="n"/>
    </row>
    <row r="46">
      <c r="A46" s="928" t="inlineStr">
        <is>
          <t xml:space="preserve"> </t>
        </is>
      </c>
      <c r="B46" s="859" t="n"/>
      <c r="C46" s="928" t="inlineStr">
        <is>
          <t xml:space="preserve"> </t>
        </is>
      </c>
      <c r="D46" s="859" t="n"/>
      <c r="E46" s="929" t="inlineStr">
        <is>
          <t xml:space="preserve"> </t>
        </is>
      </c>
      <c r="F46" s="437" t="n"/>
      <c r="G46" s="933" t="inlineStr">
        <is>
          <t xml:space="preserve"> </t>
        </is>
      </c>
      <c r="H46" s="859" t="n"/>
      <c r="I46" s="928" t="inlineStr">
        <is>
          <t xml:space="preserve"> </t>
        </is>
      </c>
      <c r="J46" s="859" t="n"/>
      <c r="K46" s="928" t="inlineStr">
        <is>
          <t xml:space="preserve"> </t>
        </is>
      </c>
      <c r="L46" s="859" t="n"/>
    </row>
    <row r="47">
      <c r="A47" s="474" t="n"/>
      <c r="B47" s="442" t="n"/>
      <c r="C47" s="474" t="n"/>
      <c r="D47" s="442" t="n"/>
      <c r="E47" s="474" t="n"/>
      <c r="F47" s="441" t="n"/>
      <c r="G47" s="932" t="n"/>
      <c r="H47" s="442" t="n"/>
      <c r="I47" s="474" t="n"/>
      <c r="J47" s="442" t="n"/>
      <c r="K47" s="474" t="n"/>
      <c r="L47" s="442" t="n"/>
    </row>
    <row r="48">
      <c r="A48" s="928" t="inlineStr">
        <is>
          <t xml:space="preserve"> </t>
        </is>
      </c>
      <c r="B48" s="859" t="n"/>
      <c r="C48" s="928" t="inlineStr">
        <is>
          <t xml:space="preserve"> </t>
        </is>
      </c>
      <c r="D48" s="859" t="n"/>
      <c r="E48" s="929" t="inlineStr">
        <is>
          <t xml:space="preserve"> </t>
        </is>
      </c>
      <c r="F48" s="437" t="n"/>
      <c r="G48" s="933" t="inlineStr">
        <is>
          <t xml:space="preserve"> </t>
        </is>
      </c>
      <c r="H48" s="859" t="n"/>
      <c r="I48" s="928" t="inlineStr">
        <is>
          <t xml:space="preserve"> </t>
        </is>
      </c>
      <c r="J48" s="859" t="n"/>
      <c r="K48" s="928" t="inlineStr">
        <is>
          <t xml:space="preserve"> </t>
        </is>
      </c>
      <c r="L48" s="859" t="n"/>
    </row>
    <row r="49">
      <c r="A49" s="474" t="n"/>
      <c r="B49" s="442" t="n"/>
      <c r="C49" s="474" t="n"/>
      <c r="D49" s="442" t="n"/>
      <c r="E49" s="474" t="n"/>
      <c r="F49" s="441" t="n"/>
      <c r="G49" s="932" t="n"/>
      <c r="H49" s="442" t="n"/>
      <c r="I49" s="474" t="n"/>
      <c r="J49" s="442" t="n"/>
      <c r="K49" s="474" t="n"/>
      <c r="L49" s="442" t="n"/>
    </row>
    <row r="50">
      <c r="A50" s="928" t="inlineStr">
        <is>
          <t xml:space="preserve"> </t>
        </is>
      </c>
      <c r="B50" s="859" t="n"/>
      <c r="C50" s="928" t="inlineStr">
        <is>
          <t xml:space="preserve"> </t>
        </is>
      </c>
      <c r="D50" s="859" t="n"/>
      <c r="E50" s="929" t="inlineStr">
        <is>
          <t xml:space="preserve"> </t>
        </is>
      </c>
      <c r="F50" s="437" t="n"/>
      <c r="G50" s="933" t="inlineStr">
        <is>
          <t xml:space="preserve"> </t>
        </is>
      </c>
      <c r="H50" s="859" t="n"/>
      <c r="I50" s="928" t="inlineStr">
        <is>
          <t xml:space="preserve"> </t>
        </is>
      </c>
      <c r="J50" s="859" t="n"/>
      <c r="K50" s="928" t="inlineStr">
        <is>
          <t xml:space="preserve"> </t>
        </is>
      </c>
      <c r="L50" s="859" t="n"/>
    </row>
    <row r="51">
      <c r="A51" s="474" t="n"/>
      <c r="B51" s="442" t="n"/>
      <c r="C51" s="474" t="n"/>
      <c r="D51" s="442" t="n"/>
      <c r="E51" s="474" t="n"/>
      <c r="F51" s="441" t="n"/>
      <c r="G51" s="932" t="n"/>
      <c r="H51" s="442" t="n"/>
      <c r="I51" s="474" t="n"/>
      <c r="J51" s="442" t="n"/>
      <c r="K51" s="474" t="n"/>
      <c r="L51" s="442" t="n"/>
    </row>
    <row r="52">
      <c r="A52" s="928" t="inlineStr">
        <is>
          <t xml:space="preserve"> </t>
        </is>
      </c>
      <c r="B52" s="859" t="n"/>
      <c r="C52" s="928" t="inlineStr">
        <is>
          <t xml:space="preserve"> </t>
        </is>
      </c>
      <c r="D52" s="859" t="n"/>
      <c r="E52" s="929" t="inlineStr">
        <is>
          <t xml:space="preserve"> </t>
        </is>
      </c>
      <c r="F52" s="437" t="n"/>
      <c r="G52" s="933" t="inlineStr">
        <is>
          <t xml:space="preserve"> </t>
        </is>
      </c>
      <c r="H52" s="859" t="n"/>
      <c r="I52" s="928" t="inlineStr">
        <is>
          <t xml:space="preserve"> </t>
        </is>
      </c>
      <c r="J52" s="859" t="n"/>
      <c r="K52" s="928" t="inlineStr">
        <is>
          <t xml:space="preserve"> </t>
        </is>
      </c>
      <c r="L52" s="859" t="n"/>
    </row>
    <row r="53">
      <c r="A53" s="474" t="n"/>
      <c r="B53" s="442" t="n"/>
      <c r="C53" s="474" t="n"/>
      <c r="D53" s="442" t="n"/>
      <c r="E53" s="474" t="n"/>
      <c r="F53" s="441" t="n"/>
      <c r="G53" s="932" t="n"/>
      <c r="H53" s="442" t="n"/>
      <c r="I53" s="474" t="n"/>
      <c r="J53" s="442" t="n"/>
      <c r="K53" s="474" t="n"/>
      <c r="L53" s="442" t="n"/>
    </row>
  </sheetData>
  <sheetProtection selectLockedCells="0" selectUnlockedCells="0" sheet="1" objects="1" insertRows="1" insertHyperlinks="1" autoFilter="1" scenarios="1" formatColumns="1" deleteColumns="1" insertColumns="1" pivotTables="1" deleteRows="1" formatCells="1" formatRows="1" sort="1"/>
  <mergeCells count="128">
    <mergeCell ref="A52:B53"/>
    <mergeCell ref="C52:D53"/>
    <mergeCell ref="E52:F53"/>
    <mergeCell ref="G52:H53"/>
    <mergeCell ref="I52:J53"/>
    <mergeCell ref="K52:L53"/>
    <mergeCell ref="A50:B51"/>
    <mergeCell ref="C50:D51"/>
    <mergeCell ref="E50:F51"/>
    <mergeCell ref="G50:H51"/>
    <mergeCell ref="I50:J51"/>
    <mergeCell ref="K50:L51"/>
    <mergeCell ref="A48:B49"/>
    <mergeCell ref="C48:D49"/>
    <mergeCell ref="E48:F49"/>
    <mergeCell ref="G48:H49"/>
    <mergeCell ref="I48:J49"/>
    <mergeCell ref="K48:L49"/>
    <mergeCell ref="A46:B47"/>
    <mergeCell ref="C46:D47"/>
    <mergeCell ref="E46:F47"/>
    <mergeCell ref="G46:H47"/>
    <mergeCell ref="I46:J47"/>
    <mergeCell ref="K46:L47"/>
    <mergeCell ref="A44:B45"/>
    <mergeCell ref="C44:D45"/>
    <mergeCell ref="E44:F45"/>
    <mergeCell ref="G44:H45"/>
    <mergeCell ref="I44:J45"/>
    <mergeCell ref="K44:L45"/>
    <mergeCell ref="A42:B43"/>
    <mergeCell ref="C42:D43"/>
    <mergeCell ref="E42:F43"/>
    <mergeCell ref="G42:H43"/>
    <mergeCell ref="I42:J43"/>
    <mergeCell ref="K42:L43"/>
    <mergeCell ref="A40:B41"/>
    <mergeCell ref="C40:D41"/>
    <mergeCell ref="E40:F41"/>
    <mergeCell ref="G40:H41"/>
    <mergeCell ref="I40:J41"/>
    <mergeCell ref="K40:L41"/>
    <mergeCell ref="A38:B39"/>
    <mergeCell ref="C38:D39"/>
    <mergeCell ref="E38:F39"/>
    <mergeCell ref="G38:H39"/>
    <mergeCell ref="I38:J39"/>
    <mergeCell ref="K38:L39"/>
    <mergeCell ref="A36:B37"/>
    <mergeCell ref="C36:D37"/>
    <mergeCell ref="E36:F37"/>
    <mergeCell ref="G36:H37"/>
    <mergeCell ref="I36:J37"/>
    <mergeCell ref="K36:L37"/>
    <mergeCell ref="A34:B35"/>
    <mergeCell ref="C34:D35"/>
    <mergeCell ref="E34:F35"/>
    <mergeCell ref="G34:H35"/>
    <mergeCell ref="I34:J35"/>
    <mergeCell ref="K34:L35"/>
    <mergeCell ref="A32:B33"/>
    <mergeCell ref="C32:D33"/>
    <mergeCell ref="E32:F33"/>
    <mergeCell ref="G32:H33"/>
    <mergeCell ref="I32:J33"/>
    <mergeCell ref="K32:L33"/>
    <mergeCell ref="A30:B31"/>
    <mergeCell ref="C30:D31"/>
    <mergeCell ref="E30:F31"/>
    <mergeCell ref="G30:H31"/>
    <mergeCell ref="I30:J31"/>
    <mergeCell ref="K30:L31"/>
    <mergeCell ref="A28:B29"/>
    <mergeCell ref="C28:D29"/>
    <mergeCell ref="E28:F29"/>
    <mergeCell ref="G28:H29"/>
    <mergeCell ref="I28:J29"/>
    <mergeCell ref="K28:L29"/>
    <mergeCell ref="A26:B27"/>
    <mergeCell ref="C26:D27"/>
    <mergeCell ref="E26:F27"/>
    <mergeCell ref="G26:H27"/>
    <mergeCell ref="I26:J27"/>
    <mergeCell ref="K26:L27"/>
    <mergeCell ref="A24:B25"/>
    <mergeCell ref="C24:D25"/>
    <mergeCell ref="E24:F25"/>
    <mergeCell ref="G24:H25"/>
    <mergeCell ref="I24:J25"/>
    <mergeCell ref="K24:L25"/>
    <mergeCell ref="A22:B23"/>
    <mergeCell ref="C22:D23"/>
    <mergeCell ref="E22:F23"/>
    <mergeCell ref="G22:H23"/>
    <mergeCell ref="I22:J23"/>
    <mergeCell ref="K22:L23"/>
    <mergeCell ref="A13:E14"/>
    <mergeCell ref="F13:L15"/>
    <mergeCell ref="A15:E18"/>
    <mergeCell ref="F16:L18"/>
    <mergeCell ref="A20:B21"/>
    <mergeCell ref="C20:D21"/>
    <mergeCell ref="E20:F21"/>
    <mergeCell ref="G20:H21"/>
    <mergeCell ref="I20:J21"/>
    <mergeCell ref="K20:L21"/>
    <mergeCell ref="A9:E11"/>
    <mergeCell ref="F9:L10"/>
    <mergeCell ref="F11:L12"/>
    <mergeCell ref="A12:E12"/>
    <mergeCell ref="A4:B4"/>
    <mergeCell ref="C4:G4"/>
    <mergeCell ref="H4:I4"/>
    <mergeCell ref="J4:L4"/>
    <mergeCell ref="A5:B5"/>
    <mergeCell ref="D5:E5"/>
    <mergeCell ref="F5:G5"/>
    <mergeCell ref="H5:I5"/>
    <mergeCell ref="J5:L5"/>
    <mergeCell ref="A1:A2"/>
    <mergeCell ref="B1:D1"/>
    <mergeCell ref="F1:I1"/>
    <mergeCell ref="J1:L1"/>
    <mergeCell ref="B2:D2"/>
    <mergeCell ref="E2:F2"/>
    <mergeCell ref="G2:L2"/>
    <mergeCell ref="A8:E8"/>
    <mergeCell ref="F8:L8"/>
  </mergeCells>
  <pageMargins left="0.33" right="0" top="0.3" bottom="0.3" header="0.25" footer="0.25"/>
  <pageSetup orientation="portrait" scale="89"/>
  <headerFooter alignWithMargins="0">
    <oddHeader/>
    <oddFooter>&amp;LNETWORK ADDRESS:  MPCI data\Forms\_x000a_Production_ Operation forms&amp;C                           &amp;RRETENTION REQUIREMENT:  Maintained with the _x000a_Job Packet for 3 years</oddFooter>
    <evenHeader/>
    <evenFooter/>
    <firstHeader/>
    <firstFooter/>
  </headerFooter>
</worksheet>
</file>

<file path=xl/worksheets/sheet15.xml><?xml version="1.0" encoding="utf-8"?>
<worksheet xmlns="http://schemas.openxmlformats.org/spreadsheetml/2006/main">
  <sheetPr codeName="Sheet18">
    <outlinePr summaryBelow="1" summaryRight="1"/>
    <pageSetUpPr/>
  </sheetPr>
  <dimension ref="A1:CE53"/>
  <sheetViews>
    <sheetView showGridLines="0" view="pageBreakPreview" zoomScaleNormal="100" zoomScaleSheetLayoutView="100" workbookViewId="0">
      <selection activeCell="A1" sqref="A1:A2"/>
    </sheetView>
  </sheetViews>
  <sheetFormatPr baseColWidth="8" defaultRowHeight="12.5"/>
  <cols>
    <col width="8.7265625" customWidth="1" style="662" min="1" max="12"/>
    <col width="11.1796875" customWidth="1" style="662" min="13" max="13"/>
    <col width="9.1796875" customWidth="1" style="662" min="14" max="256"/>
    <col width="8.7265625" customWidth="1" style="662" min="257" max="268"/>
    <col width="11.1796875" customWidth="1" style="662" min="269" max="269"/>
    <col width="9.1796875" customWidth="1" style="662" min="270" max="512"/>
    <col width="8.7265625" customWidth="1" style="662" min="513" max="524"/>
    <col width="11.1796875" customWidth="1" style="662" min="525" max="525"/>
    <col width="9.1796875" customWidth="1" style="662" min="526" max="768"/>
    <col width="8.7265625" customWidth="1" style="662" min="769" max="780"/>
    <col width="11.1796875" customWidth="1" style="662" min="781" max="781"/>
    <col width="9.1796875" customWidth="1" style="662" min="782" max="1024"/>
    <col width="8.7265625" customWidth="1" style="662" min="1025" max="1036"/>
    <col width="11.1796875" customWidth="1" style="662" min="1037" max="1037"/>
    <col width="9.1796875" customWidth="1" style="662" min="1038" max="1280"/>
    <col width="8.7265625" customWidth="1" style="662" min="1281" max="1292"/>
    <col width="11.1796875" customWidth="1" style="662" min="1293" max="1293"/>
    <col width="9.1796875" customWidth="1" style="662" min="1294" max="1536"/>
    <col width="8.7265625" customWidth="1" style="662" min="1537" max="1548"/>
    <col width="11.1796875" customWidth="1" style="662" min="1549" max="1549"/>
    <col width="9.1796875" customWidth="1" style="662" min="1550" max="1792"/>
    <col width="8.7265625" customWidth="1" style="662" min="1793" max="1804"/>
    <col width="11.1796875" customWidth="1" style="662" min="1805" max="1805"/>
    <col width="9.1796875" customWidth="1" style="662" min="1806" max="2048"/>
    <col width="8.7265625" customWidth="1" style="662" min="2049" max="2060"/>
    <col width="11.1796875" customWidth="1" style="662" min="2061" max="2061"/>
    <col width="9.1796875" customWidth="1" style="662" min="2062" max="2304"/>
    <col width="8.7265625" customWidth="1" style="662" min="2305" max="2316"/>
    <col width="11.1796875" customWidth="1" style="662" min="2317" max="2317"/>
    <col width="9.1796875" customWidth="1" style="662" min="2318" max="2560"/>
    <col width="8.7265625" customWidth="1" style="662" min="2561" max="2572"/>
    <col width="11.1796875" customWidth="1" style="662" min="2573" max="2573"/>
    <col width="9.1796875" customWidth="1" style="662" min="2574" max="2816"/>
    <col width="8.7265625" customWidth="1" style="662" min="2817" max="2828"/>
    <col width="11.1796875" customWidth="1" style="662" min="2829" max="2829"/>
    <col width="9.1796875" customWidth="1" style="662" min="2830" max="3072"/>
    <col width="8.7265625" customWidth="1" style="662" min="3073" max="3084"/>
    <col width="11.1796875" customWidth="1" style="662" min="3085" max="3085"/>
    <col width="9.1796875" customWidth="1" style="662" min="3086" max="3328"/>
    <col width="8.7265625" customWidth="1" style="662" min="3329" max="3340"/>
    <col width="11.1796875" customWidth="1" style="662" min="3341" max="3341"/>
    <col width="9.1796875" customWidth="1" style="662" min="3342" max="3584"/>
    <col width="8.7265625" customWidth="1" style="662" min="3585" max="3596"/>
    <col width="11.1796875" customWidth="1" style="662" min="3597" max="3597"/>
    <col width="9.1796875" customWidth="1" style="662" min="3598" max="3840"/>
    <col width="8.7265625" customWidth="1" style="662" min="3841" max="3852"/>
    <col width="11.1796875" customWidth="1" style="662" min="3853" max="3853"/>
    <col width="9.1796875" customWidth="1" style="662" min="3854" max="4096"/>
    <col width="8.7265625" customWidth="1" style="662" min="4097" max="4108"/>
    <col width="11.1796875" customWidth="1" style="662" min="4109" max="4109"/>
    <col width="9.1796875" customWidth="1" style="662" min="4110" max="4352"/>
    <col width="8.7265625" customWidth="1" style="662" min="4353" max="4364"/>
    <col width="11.1796875" customWidth="1" style="662" min="4365" max="4365"/>
    <col width="9.1796875" customWidth="1" style="662" min="4366" max="4608"/>
    <col width="8.7265625" customWidth="1" style="662" min="4609" max="4620"/>
    <col width="11.1796875" customWidth="1" style="662" min="4621" max="4621"/>
    <col width="9.1796875" customWidth="1" style="662" min="4622" max="4864"/>
    <col width="8.7265625" customWidth="1" style="662" min="4865" max="4876"/>
    <col width="11.1796875" customWidth="1" style="662" min="4877" max="4877"/>
    <col width="9.1796875" customWidth="1" style="662" min="4878" max="5120"/>
    <col width="8.7265625" customWidth="1" style="662" min="5121" max="5132"/>
    <col width="11.1796875" customWidth="1" style="662" min="5133" max="5133"/>
    <col width="9.1796875" customWidth="1" style="662" min="5134" max="5376"/>
    <col width="8.7265625" customWidth="1" style="662" min="5377" max="5388"/>
    <col width="11.1796875" customWidth="1" style="662" min="5389" max="5389"/>
    <col width="9.1796875" customWidth="1" style="662" min="5390" max="5632"/>
    <col width="8.7265625" customWidth="1" style="662" min="5633" max="5644"/>
    <col width="11.1796875" customWidth="1" style="662" min="5645" max="5645"/>
    <col width="9.1796875" customWidth="1" style="662" min="5646" max="5888"/>
    <col width="8.7265625" customWidth="1" style="662" min="5889" max="5900"/>
    <col width="11.1796875" customWidth="1" style="662" min="5901" max="5901"/>
    <col width="9.1796875" customWidth="1" style="662" min="5902" max="6144"/>
    <col width="8.7265625" customWidth="1" style="662" min="6145" max="6156"/>
    <col width="11.1796875" customWidth="1" style="662" min="6157" max="6157"/>
    <col width="9.1796875" customWidth="1" style="662" min="6158" max="6400"/>
    <col width="8.7265625" customWidth="1" style="662" min="6401" max="6412"/>
    <col width="11.1796875" customWidth="1" style="662" min="6413" max="6413"/>
    <col width="9.1796875" customWidth="1" style="662" min="6414" max="6656"/>
    <col width="8.7265625" customWidth="1" style="662" min="6657" max="6668"/>
    <col width="11.1796875" customWidth="1" style="662" min="6669" max="6669"/>
    <col width="9.1796875" customWidth="1" style="662" min="6670" max="6912"/>
    <col width="8.7265625" customWidth="1" style="662" min="6913" max="6924"/>
    <col width="11.1796875" customWidth="1" style="662" min="6925" max="6925"/>
    <col width="9.1796875" customWidth="1" style="662" min="6926" max="7168"/>
    <col width="8.7265625" customWidth="1" style="662" min="7169" max="7180"/>
    <col width="11.1796875" customWidth="1" style="662" min="7181" max="7181"/>
    <col width="9.1796875" customWidth="1" style="662" min="7182" max="7424"/>
    <col width="8.7265625" customWidth="1" style="662" min="7425" max="7436"/>
    <col width="11.1796875" customWidth="1" style="662" min="7437" max="7437"/>
    <col width="9.1796875" customWidth="1" style="662" min="7438" max="7680"/>
    <col width="8.7265625" customWidth="1" style="662" min="7681" max="7692"/>
    <col width="11.1796875" customWidth="1" style="662" min="7693" max="7693"/>
    <col width="9.1796875" customWidth="1" style="662" min="7694" max="7936"/>
    <col width="8.7265625" customWidth="1" style="662" min="7937" max="7948"/>
    <col width="11.1796875" customWidth="1" style="662" min="7949" max="7949"/>
    <col width="9.1796875" customWidth="1" style="662" min="7950" max="8192"/>
    <col width="8.7265625" customWidth="1" style="662" min="8193" max="8204"/>
    <col width="11.1796875" customWidth="1" style="662" min="8205" max="8205"/>
    <col width="9.1796875" customWidth="1" style="662" min="8206" max="8448"/>
    <col width="8.7265625" customWidth="1" style="662" min="8449" max="8460"/>
    <col width="11.1796875" customWidth="1" style="662" min="8461" max="8461"/>
    <col width="9.1796875" customWidth="1" style="662" min="8462" max="8704"/>
    <col width="8.7265625" customWidth="1" style="662" min="8705" max="8716"/>
    <col width="11.1796875" customWidth="1" style="662" min="8717" max="8717"/>
    <col width="9.1796875" customWidth="1" style="662" min="8718" max="8960"/>
    <col width="8.7265625" customWidth="1" style="662" min="8961" max="8972"/>
    <col width="11.1796875" customWidth="1" style="662" min="8973" max="8973"/>
    <col width="9.1796875" customWidth="1" style="662" min="8974" max="9216"/>
    <col width="8.7265625" customWidth="1" style="662" min="9217" max="9228"/>
    <col width="11.1796875" customWidth="1" style="662" min="9229" max="9229"/>
    <col width="9.1796875" customWidth="1" style="662" min="9230" max="9472"/>
    <col width="8.7265625" customWidth="1" style="662" min="9473" max="9484"/>
    <col width="11.1796875" customWidth="1" style="662" min="9485" max="9485"/>
    <col width="9.1796875" customWidth="1" style="662" min="9486" max="9728"/>
    <col width="8.7265625" customWidth="1" style="662" min="9729" max="9740"/>
    <col width="11.1796875" customWidth="1" style="662" min="9741" max="9741"/>
    <col width="9.1796875" customWidth="1" style="662" min="9742" max="9984"/>
    <col width="8.7265625" customWidth="1" style="662" min="9985" max="9996"/>
    <col width="11.1796875" customWidth="1" style="662" min="9997" max="9997"/>
    <col width="9.1796875" customWidth="1" style="662" min="9998" max="10240"/>
    <col width="8.7265625" customWidth="1" style="662" min="10241" max="10252"/>
    <col width="11.1796875" customWidth="1" style="662" min="10253" max="10253"/>
    <col width="9.1796875" customWidth="1" style="662" min="10254" max="10496"/>
    <col width="8.7265625" customWidth="1" style="662" min="10497" max="10508"/>
    <col width="11.1796875" customWidth="1" style="662" min="10509" max="10509"/>
    <col width="9.1796875" customWidth="1" style="662" min="10510" max="10752"/>
    <col width="8.7265625" customWidth="1" style="662" min="10753" max="10764"/>
    <col width="11.1796875" customWidth="1" style="662" min="10765" max="10765"/>
    <col width="9.1796875" customWidth="1" style="662" min="10766" max="11008"/>
    <col width="8.7265625" customWidth="1" style="662" min="11009" max="11020"/>
    <col width="11.1796875" customWidth="1" style="662" min="11021" max="11021"/>
    <col width="9.1796875" customWidth="1" style="662" min="11022" max="11264"/>
    <col width="8.7265625" customWidth="1" style="662" min="11265" max="11276"/>
    <col width="11.1796875" customWidth="1" style="662" min="11277" max="11277"/>
    <col width="9.1796875" customWidth="1" style="662" min="11278" max="11520"/>
    <col width="8.7265625" customWidth="1" style="662" min="11521" max="11532"/>
    <col width="11.1796875" customWidth="1" style="662" min="11533" max="11533"/>
    <col width="9.1796875" customWidth="1" style="662" min="11534" max="11776"/>
    <col width="8.7265625" customWidth="1" style="662" min="11777" max="11788"/>
    <col width="11.1796875" customWidth="1" style="662" min="11789" max="11789"/>
    <col width="9.1796875" customWidth="1" style="662" min="11790" max="12032"/>
    <col width="8.7265625" customWidth="1" style="662" min="12033" max="12044"/>
    <col width="11.1796875" customWidth="1" style="662" min="12045" max="12045"/>
    <col width="9.1796875" customWidth="1" style="662" min="12046" max="12288"/>
    <col width="8.7265625" customWidth="1" style="662" min="12289" max="12300"/>
    <col width="11.1796875" customWidth="1" style="662" min="12301" max="12301"/>
    <col width="9.1796875" customWidth="1" style="662" min="12302" max="12544"/>
    <col width="8.7265625" customWidth="1" style="662" min="12545" max="12556"/>
    <col width="11.1796875" customWidth="1" style="662" min="12557" max="12557"/>
    <col width="9.1796875" customWidth="1" style="662" min="12558" max="12800"/>
    <col width="8.7265625" customWidth="1" style="662" min="12801" max="12812"/>
    <col width="11.1796875" customWidth="1" style="662" min="12813" max="12813"/>
    <col width="9.1796875" customWidth="1" style="662" min="12814" max="13056"/>
    <col width="8.7265625" customWidth="1" style="662" min="13057" max="13068"/>
    <col width="11.1796875" customWidth="1" style="662" min="13069" max="13069"/>
    <col width="9.1796875" customWidth="1" style="662" min="13070" max="13312"/>
    <col width="8.7265625" customWidth="1" style="662" min="13313" max="13324"/>
    <col width="11.1796875" customWidth="1" style="662" min="13325" max="13325"/>
    <col width="9.1796875" customWidth="1" style="662" min="13326" max="13568"/>
    <col width="8.7265625" customWidth="1" style="662" min="13569" max="13580"/>
    <col width="11.1796875" customWidth="1" style="662" min="13581" max="13581"/>
    <col width="9.1796875" customWidth="1" style="662" min="13582" max="13824"/>
    <col width="8.7265625" customWidth="1" style="662" min="13825" max="13836"/>
    <col width="11.1796875" customWidth="1" style="662" min="13837" max="13837"/>
    <col width="9.1796875" customWidth="1" style="662" min="13838" max="14080"/>
    <col width="8.7265625" customWidth="1" style="662" min="14081" max="14092"/>
    <col width="11.1796875" customWidth="1" style="662" min="14093" max="14093"/>
    <col width="9.1796875" customWidth="1" style="662" min="14094" max="14336"/>
    <col width="8.7265625" customWidth="1" style="662" min="14337" max="14348"/>
    <col width="11.1796875" customWidth="1" style="662" min="14349" max="14349"/>
    <col width="9.1796875" customWidth="1" style="662" min="14350" max="14592"/>
    <col width="8.7265625" customWidth="1" style="662" min="14593" max="14604"/>
    <col width="11.1796875" customWidth="1" style="662" min="14605" max="14605"/>
    <col width="9.1796875" customWidth="1" style="662" min="14606" max="14848"/>
    <col width="8.7265625" customWidth="1" style="662" min="14849" max="14860"/>
    <col width="11.1796875" customWidth="1" style="662" min="14861" max="14861"/>
    <col width="9.1796875" customWidth="1" style="662" min="14862" max="15104"/>
    <col width="8.7265625" customWidth="1" style="662" min="15105" max="15116"/>
    <col width="11.1796875" customWidth="1" style="662" min="15117" max="15117"/>
    <col width="9.1796875" customWidth="1" style="662" min="15118" max="15360"/>
    <col width="8.7265625" customWidth="1" style="662" min="15361" max="15372"/>
    <col width="11.1796875" customWidth="1" style="662" min="15373" max="15373"/>
    <col width="9.1796875" customWidth="1" style="662" min="15374" max="15616"/>
    <col width="8.7265625" customWidth="1" style="662" min="15617" max="15628"/>
    <col width="11.1796875" customWidth="1" style="662" min="15629" max="15629"/>
    <col width="9.1796875" customWidth="1" style="662" min="15630" max="15872"/>
    <col width="8.7265625" customWidth="1" style="662" min="15873" max="15884"/>
    <col width="11.1796875" customWidth="1" style="662" min="15885" max="15885"/>
    <col width="9.1796875" customWidth="1" style="662" min="15886" max="16128"/>
    <col width="8.7265625" customWidth="1" style="662" min="16129" max="16140"/>
    <col width="11.1796875" customWidth="1" style="662" min="16141" max="16141"/>
    <col width="9.1796875" customWidth="1" style="662" min="16142" max="16384"/>
  </cols>
  <sheetData>
    <row r="1" ht="50.25" customHeight="1">
      <c r="A1" s="916" t="inlineStr">
        <is>
          <t>MPCI</t>
        </is>
      </c>
      <c r="B1" s="714" t="inlineStr">
        <is>
          <t>FEEDER LOG</t>
        </is>
      </c>
      <c r="C1" s="437" t="n"/>
      <c r="D1" s="437" t="n"/>
      <c r="E1" s="630" t="inlineStr">
        <is>
          <t>DOC:        FRM-104</t>
        </is>
      </c>
      <c r="F1" s="558" t="inlineStr">
        <is>
          <t>REVISION LEVEL: 011</t>
        </is>
      </c>
      <c r="G1" s="856" t="n"/>
      <c r="H1" s="856" t="n"/>
      <c r="I1" s="857" t="n"/>
      <c r="J1" s="560" t="inlineStr">
        <is>
          <t>ISSUE DATE: 9/30/19</t>
        </is>
      </c>
      <c r="K1" s="856" t="n"/>
      <c r="L1" s="857" t="n"/>
      <c r="M1" s="179" t="n"/>
      <c r="T1" s="46" t="n"/>
      <c r="U1" s="46" t="n"/>
      <c r="V1" s="46" t="n"/>
      <c r="W1" s="46" t="n"/>
      <c r="X1" s="46" t="n"/>
      <c r="Y1" s="46" t="n"/>
      <c r="Z1" s="46" t="n"/>
      <c r="AA1" s="46" t="n"/>
      <c r="AB1" s="46" t="n"/>
      <c r="AC1" s="46" t="n"/>
      <c r="AD1" s="46" t="n"/>
      <c r="AE1" s="46" t="n"/>
      <c r="AF1" s="46" t="n"/>
      <c r="AG1" s="46" t="n"/>
      <c r="AH1" s="46" t="n"/>
      <c r="AI1" s="46" t="n"/>
      <c r="AJ1" s="46" t="n"/>
      <c r="AK1" s="46" t="n"/>
      <c r="AL1" s="46" t="n"/>
      <c r="AM1" s="46" t="n"/>
      <c r="AN1" s="46" t="n"/>
      <c r="AO1" s="46" t="n"/>
      <c r="AP1" s="46" t="n"/>
      <c r="AQ1" s="46" t="n"/>
      <c r="AR1" s="46" t="n"/>
      <c r="AS1" s="46" t="n"/>
      <c r="AT1" s="46" t="n"/>
      <c r="AU1" s="46" t="n"/>
      <c r="AV1" s="46" t="n"/>
      <c r="AW1" s="46" t="n"/>
      <c r="AX1" s="46" t="n"/>
      <c r="AY1" s="46" t="n"/>
      <c r="AZ1" s="46" t="n"/>
      <c r="BA1" s="46" t="n"/>
      <c r="BB1" s="46" t="n"/>
      <c r="BC1" s="46" t="n"/>
      <c r="BD1" s="46" t="n"/>
      <c r="BE1" s="46" t="n"/>
      <c r="BF1" s="46" t="n"/>
      <c r="BG1" s="46" t="n"/>
      <c r="BH1" s="46" t="n"/>
      <c r="BI1" s="46" t="n"/>
      <c r="BJ1" s="46" t="n"/>
      <c r="BK1" s="46" t="n"/>
      <c r="BL1" s="46" t="n"/>
      <c r="BM1" s="46" t="n"/>
      <c r="BN1" s="46" t="n"/>
      <c r="BO1" s="46" t="n"/>
      <c r="BP1" s="46" t="n"/>
      <c r="BR1" s="46" t="n"/>
      <c r="BS1" s="46" t="n"/>
      <c r="BT1" s="46" t="n"/>
      <c r="BU1" s="46" t="n"/>
      <c r="BV1" s="46" t="n"/>
      <c r="BW1" s="46" t="n"/>
      <c r="BX1" s="46" t="n"/>
      <c r="BY1" s="46" t="n"/>
      <c r="BZ1" s="46" t="n"/>
      <c r="CA1" s="46" t="n"/>
      <c r="CB1" s="46" t="n"/>
      <c r="CC1" s="46" t="n"/>
      <c r="CD1" s="46" t="n"/>
      <c r="CE1" s="46" t="n"/>
    </row>
    <row r="2" ht="30" customHeight="1">
      <c r="A2" s="846" t="n"/>
      <c r="B2" s="917" t="inlineStr">
        <is>
          <t>Form Reviewed by: Quality Coordinator</t>
        </is>
      </c>
      <c r="C2" s="856" t="n"/>
      <c r="D2" s="857" t="n"/>
      <c r="E2" s="558" t="inlineStr">
        <is>
          <t>Form Approved by: Site Manager</t>
        </is>
      </c>
      <c r="F2" s="857" t="n"/>
      <c r="G2" s="558" t="inlineStr">
        <is>
          <t>Reference:  Feeder Operation PRO-010;                                           Process Step # 4 "Feeding"</t>
        </is>
      </c>
      <c r="H2" s="856" t="n"/>
      <c r="I2" s="856" t="n"/>
      <c r="J2" s="856" t="n"/>
      <c r="K2" s="856" t="n"/>
      <c r="L2" s="857" t="n"/>
      <c r="M2" s="179" t="n"/>
      <c r="N2" s="258" t="n"/>
      <c r="O2" s="258" t="n"/>
      <c r="T2" s="46" t="n"/>
      <c r="U2" s="46" t="n"/>
      <c r="V2" s="46" t="n"/>
      <c r="W2" s="46" t="n"/>
      <c r="X2" s="46" t="n"/>
      <c r="Y2" s="46" t="n"/>
      <c r="Z2" s="46" t="n"/>
      <c r="AA2" s="46" t="n"/>
      <c r="AB2" s="46" t="n"/>
      <c r="AC2" s="46" t="n"/>
      <c r="AD2" s="46" t="n"/>
      <c r="AE2" s="46" t="n"/>
      <c r="AF2" s="46" t="n"/>
      <c r="AG2" s="46" t="n"/>
      <c r="AH2" s="46" t="n"/>
      <c r="AI2" s="46" t="n"/>
      <c r="AJ2" s="46" t="n"/>
      <c r="AK2" s="46" t="n"/>
      <c r="AL2" s="46" t="n"/>
      <c r="AM2" s="46" t="n"/>
      <c r="AN2" s="46" t="n"/>
      <c r="AO2" s="46" t="n"/>
      <c r="AP2" s="46" t="n"/>
      <c r="AQ2" s="46" t="n"/>
      <c r="AR2" s="46" t="n"/>
      <c r="AS2" s="46" t="n"/>
      <c r="AT2" s="46" t="n"/>
      <c r="AU2" s="46" t="n"/>
      <c r="AV2" s="46" t="n"/>
      <c r="AW2" s="46" t="n"/>
      <c r="AX2" s="46" t="n"/>
      <c r="AY2" s="46" t="n"/>
      <c r="AZ2" s="46" t="n"/>
      <c r="BA2" s="46" t="n"/>
      <c r="BB2" s="46" t="n"/>
      <c r="BC2" s="46" t="n"/>
      <c r="BD2" s="46" t="n"/>
      <c r="BE2" s="46" t="n"/>
      <c r="BF2" s="46" t="n"/>
      <c r="BG2" s="46" t="n"/>
      <c r="BH2" s="46" t="n"/>
      <c r="BI2" s="46" t="n"/>
      <c r="BJ2" s="46" t="n"/>
      <c r="BK2" s="46" t="n"/>
      <c r="BL2" s="46" t="n"/>
      <c r="BM2" s="46" t="n"/>
      <c r="BN2" s="46" t="n"/>
      <c r="BO2" s="46" t="n"/>
      <c r="BP2" s="46" t="n"/>
      <c r="BR2" s="47" t="n"/>
      <c r="BS2" s="47" t="n"/>
      <c r="BT2" s="47" t="n"/>
      <c r="BU2" s="47" t="n"/>
      <c r="BV2" s="47" t="n"/>
      <c r="BW2" s="47" t="n"/>
      <c r="BX2" s="47" t="n"/>
      <c r="BY2" s="47" t="n"/>
      <c r="BZ2" s="47" t="n"/>
      <c r="CA2" s="47" t="n"/>
      <c r="CB2" s="47" t="n"/>
      <c r="CC2" s="47" t="n"/>
      <c r="CD2" s="47" t="n"/>
      <c r="CE2" s="47" t="n"/>
    </row>
    <row r="3" ht="7.5" customHeight="1">
      <c r="J3" s="653" t="n"/>
      <c r="K3" s="653" t="n"/>
      <c r="L3" s="653" t="n"/>
    </row>
    <row r="4" ht="24" customFormat="1" customHeight="1" s="248">
      <c r="A4" s="918" t="inlineStr">
        <is>
          <t>RAW MATERIAL:</t>
        </is>
      </c>
      <c r="B4" s="857" t="n"/>
      <c r="C4" s="743">
        <f>PACKET!G11</f>
        <v/>
      </c>
      <c r="D4" s="856" t="n"/>
      <c r="E4" s="856" t="n"/>
      <c r="F4" s="856" t="n"/>
      <c r="G4" s="856" t="n"/>
      <c r="H4" s="919" t="inlineStr">
        <is>
          <t>JOB NUMBER:</t>
        </is>
      </c>
      <c r="I4" s="857" t="n"/>
      <c r="J4" s="920">
        <f>PACKET!C27</f>
        <v/>
      </c>
      <c r="K4" s="856" t="n"/>
      <c r="L4" s="857" t="n"/>
    </row>
    <row r="5" ht="26.25" customFormat="1" customHeight="1" s="248">
      <c r="A5" s="918" t="inlineStr">
        <is>
          <t>LINE NUMBER:</t>
        </is>
      </c>
      <c r="B5" s="857" t="n"/>
      <c r="C5" s="259">
        <f>PACKET!C26</f>
        <v/>
      </c>
      <c r="D5" s="918" t="inlineStr">
        <is>
          <t>FEEDER NUMBER:</t>
        </is>
      </c>
      <c r="E5" s="857" t="n"/>
      <c r="F5" s="920" t="inlineStr">
        <is>
          <t>SEVEN</t>
        </is>
      </c>
      <c r="G5" s="857" t="n"/>
      <c r="H5" s="919" t="inlineStr">
        <is>
          <t>T.L. APPROVAL:</t>
        </is>
      </c>
      <c r="I5" s="857" t="n"/>
      <c r="J5" s="259">
        <f>PACKET!C5</f>
        <v/>
      </c>
      <c r="K5" s="856" t="n"/>
      <c r="L5" s="857" t="n"/>
    </row>
    <row r="6" ht="9.75" customFormat="1" customHeight="1" s="248">
      <c r="A6" s="260" t="n"/>
      <c r="B6" s="260" t="n"/>
      <c r="C6" s="261" t="n"/>
      <c r="D6" s="260" t="n"/>
      <c r="E6" s="260" t="n"/>
      <c r="F6" s="262" t="n"/>
      <c r="G6" s="170" t="n"/>
      <c r="H6" s="169" t="n"/>
      <c r="I6" s="169" t="n"/>
      <c r="J6" s="263" t="n"/>
      <c r="K6" s="263" t="n"/>
      <c r="L6" s="263" t="n"/>
    </row>
    <row r="7" ht="24" customFormat="1" customHeight="1" s="248">
      <c r="A7" s="263" t="n"/>
      <c r="B7" s="264" t="n"/>
      <c r="C7" s="264" t="n"/>
      <c r="D7" s="263" t="n"/>
      <c r="E7" s="263" t="n"/>
      <c r="F7" s="263" t="n"/>
      <c r="G7" s="263" t="n"/>
      <c r="H7" s="263" t="n"/>
      <c r="I7" s="263" t="n"/>
      <c r="J7" s="264" t="n"/>
      <c r="K7" s="264" t="n"/>
      <c r="L7" s="264" t="n"/>
    </row>
    <row r="8" ht="15" customFormat="1" customHeight="1" s="248">
      <c r="A8" s="720" t="inlineStr">
        <is>
          <t>BOX, CRATE, SS, AND BOWL MATERIAL</t>
        </is>
      </c>
      <c r="B8" s="856" t="n"/>
      <c r="C8" s="856" t="n"/>
      <c r="D8" s="856" t="n"/>
      <c r="E8" s="856" t="n"/>
      <c r="F8" s="921" t="inlineStr">
        <is>
          <t>RAILCAR MATERIAL</t>
        </is>
      </c>
      <c r="G8" s="856" t="n"/>
      <c r="H8" s="856" t="n"/>
      <c r="I8" s="856" t="n"/>
      <c r="J8" s="856" t="n"/>
      <c r="K8" s="856" t="n"/>
      <c r="L8" s="857" t="n"/>
    </row>
    <row r="9" ht="15" customFormat="1" customHeight="1" s="248">
      <c r="A9" s="922" t="inlineStr">
        <is>
          <t xml:space="preserve">Throughout job, from beginning to end; record Team, Date, R #  for every Receiver of material loaded. Load material in FIFO order. When consuming multiple packages of the same receiver, only one entry is required per shift.  For Blends record every bowl number loaded. No 2nd check is necessary. </t>
        </is>
      </c>
      <c r="B9" s="437" t="n"/>
      <c r="C9" s="437" t="n"/>
      <c r="D9" s="437" t="n"/>
      <c r="E9" s="859" t="n"/>
      <c r="F9" s="923" t="inlineStr">
        <is>
          <t>When using material out of a railcar, use the Event Log to track the railcar usage. Record all other material usage on this form.</t>
        </is>
      </c>
      <c r="G9" s="437" t="n"/>
      <c r="H9" s="437" t="n"/>
      <c r="I9" s="437" t="n"/>
      <c r="J9" s="437" t="n"/>
      <c r="K9" s="437" t="n"/>
      <c r="L9" s="859" t="n"/>
    </row>
    <row r="10" ht="15" customFormat="1" customHeight="1" s="248">
      <c r="A10" s="854" t="n"/>
      <c r="E10" s="528" t="n"/>
      <c r="F10" s="474" t="n"/>
      <c r="G10" s="441" t="n"/>
      <c r="H10" s="441" t="n"/>
      <c r="I10" s="441" t="n"/>
      <c r="J10" s="441" t="n"/>
      <c r="K10" s="441" t="n"/>
      <c r="L10" s="442" t="n"/>
    </row>
    <row r="11" ht="15" customFormat="1" customHeight="1" s="248">
      <c r="A11" s="474" t="n"/>
      <c r="B11" s="441" t="n"/>
      <c r="C11" s="441" t="n"/>
      <c r="D11" s="441" t="n"/>
      <c r="E11" s="442" t="n"/>
      <c r="F11" s="923" t="inlineStr">
        <is>
          <t>At start of job; record  Car #, Comp, and R #. On the Event Log  .  The 2nd check will be completed on the Changeover Checklist.</t>
        </is>
      </c>
      <c r="G11" s="437" t="n"/>
      <c r="H11" s="437" t="n"/>
      <c r="I11" s="437" t="n"/>
      <c r="J11" s="437" t="n"/>
      <c r="K11" s="437" t="n"/>
      <c r="L11" s="859" t="n"/>
    </row>
    <row r="12" ht="15" customFormat="1" customHeight="1" s="248">
      <c r="A12" s="924" t="inlineStr">
        <is>
          <t>MISCELLANEOUS</t>
        </is>
      </c>
      <c r="B12" s="856" t="n"/>
      <c r="C12" s="856" t="n"/>
      <c r="D12" s="856" t="n"/>
      <c r="E12" s="857" t="n"/>
      <c r="F12" s="474" t="n"/>
      <c r="G12" s="441" t="n"/>
      <c r="H12" s="441" t="n"/>
      <c r="I12" s="441" t="n"/>
      <c r="J12" s="441" t="n"/>
      <c r="K12" s="441" t="n"/>
      <c r="L12" s="442" t="n"/>
    </row>
    <row r="13" ht="15" customFormat="1" customHeight="1" s="248">
      <c r="A13" s="925" t="inlineStr">
        <is>
          <t>Contact Supervision if another Feeder Log is needed!</t>
        </is>
      </c>
      <c r="B13" s="437" t="n"/>
      <c r="C13" s="437" t="n"/>
      <c r="D13" s="437" t="n"/>
      <c r="E13" s="859" t="n"/>
      <c r="F13" s="923" t="inlineStr">
        <is>
          <t>During the job; at the start of each shift, double-check that the correct railcar is being used. Ensure that the correct information of Car #, Comp and R # is recorded on the Event Log.  This must be completed within the first 60 minutes of taking the floor.</t>
        </is>
      </c>
      <c r="G13" s="437" t="n"/>
      <c r="H13" s="437" t="n"/>
      <c r="I13" s="437" t="n"/>
      <c r="J13" s="437" t="n"/>
      <c r="K13" s="437" t="n"/>
      <c r="L13" s="859" t="n"/>
    </row>
    <row r="14" ht="15" customFormat="1" customHeight="1" s="248">
      <c r="A14" s="474" t="n"/>
      <c r="B14" s="441" t="n"/>
      <c r="C14" s="441" t="n"/>
      <c r="D14" s="441" t="n"/>
      <c r="E14" s="442" t="n"/>
      <c r="F14" s="854" t="n"/>
      <c r="L14" s="528" t="n"/>
    </row>
    <row r="15" ht="15" customFormat="1" customHeight="1" s="248">
      <c r="A15" s="926" t="inlineStr">
        <is>
          <t xml:space="preserve">Remember                                                                           That all Mezzanine material loaded                                              must match each individual feeder log                                             Feeder # 8,                                                                        Notify labs (QC and Color) when changing out blends during a production run </t>
        </is>
      </c>
      <c r="B15" s="437" t="n"/>
      <c r="C15" s="437" t="n"/>
      <c r="D15" s="437" t="n"/>
      <c r="E15" s="859" t="n"/>
      <c r="F15" s="474" t="n"/>
      <c r="G15" s="441" t="n"/>
      <c r="H15" s="441" t="n"/>
      <c r="I15" s="441" t="n"/>
      <c r="J15" s="441" t="n"/>
      <c r="K15" s="441" t="n"/>
      <c r="L15" s="442" t="n"/>
    </row>
    <row r="16" ht="15" customFormat="1" customHeight="1" s="248">
      <c r="A16" s="854" t="n"/>
      <c r="E16" s="528" t="n"/>
      <c r="F16" s="927" t="inlineStr">
        <is>
          <t>During the job; after switching a compartment or railcar, record Car #, Comp.,R #, totalizer value for that feeder and time of the new compartment or railcar on the Event Log.  Have another employee double-check that the switch is correct.  That employee is to initial in the Double Check column.  This must be completed within 60 minutes of the switch.</t>
        </is>
      </c>
      <c r="G16" s="437" t="n"/>
      <c r="H16" s="437" t="n"/>
      <c r="I16" s="437" t="n"/>
      <c r="J16" s="437" t="n"/>
      <c r="K16" s="437" t="n"/>
      <c r="L16" s="859" t="n"/>
    </row>
    <row r="17" ht="15" customFormat="1" customHeight="1" s="248">
      <c r="A17" s="854" t="n"/>
      <c r="E17" s="528" t="n"/>
      <c r="F17" s="854" t="n"/>
      <c r="L17" s="528" t="n"/>
    </row>
    <row r="18" ht="27.75" customFormat="1" customHeight="1" s="248">
      <c r="A18" s="474" t="n"/>
      <c r="B18" s="441" t="n"/>
      <c r="C18" s="441" t="n"/>
      <c r="D18" s="441" t="n"/>
      <c r="E18" s="442" t="n"/>
      <c r="F18" s="854" t="n"/>
      <c r="L18" s="528" t="n"/>
    </row>
    <row r="19" ht="30" customFormat="1" customHeight="1" s="248">
      <c r="A19" s="265" t="inlineStr">
        <is>
          <t>Staged Receiver Numbers for the Job</t>
        </is>
      </c>
      <c r="B19" s="266" t="n"/>
      <c r="C19" s="266" t="n"/>
      <c r="D19" s="266" t="n"/>
      <c r="E19" s="267" t="n"/>
      <c r="F19" s="267" t="n"/>
      <c r="G19" s="585" t="inlineStr">
        <is>
          <t>Type:     Box/Crate          R/C            Blend        Supersack</t>
        </is>
      </c>
      <c r="H19" s="267" t="n"/>
      <c r="I19" s="267" t="n"/>
      <c r="J19" s="267" t="n"/>
      <c r="K19" s="267" t="n"/>
      <c r="L19" s="586" t="n"/>
    </row>
    <row r="20">
      <c r="A20" s="928" t="n"/>
      <c r="B20" s="859" t="n"/>
      <c r="C20" s="928" t="n"/>
      <c r="D20" s="859" t="n"/>
      <c r="E20" s="929" t="n"/>
      <c r="F20" s="437" t="n"/>
      <c r="G20" s="930" t="n"/>
      <c r="H20" s="528" t="n"/>
      <c r="I20" s="931" t="n"/>
      <c r="J20" s="528" t="n"/>
      <c r="K20" s="931" t="n"/>
      <c r="L20" s="528" t="n"/>
    </row>
    <row r="21">
      <c r="A21" s="474" t="n"/>
      <c r="B21" s="442" t="n"/>
      <c r="C21" s="474" t="n"/>
      <c r="D21" s="442" t="n"/>
      <c r="E21" s="474" t="n"/>
      <c r="F21" s="441" t="n"/>
      <c r="G21" s="932" t="n"/>
      <c r="H21" s="442" t="n"/>
      <c r="I21" s="474" t="n"/>
      <c r="J21" s="442" t="n"/>
      <c r="K21" s="474" t="n"/>
      <c r="L21" s="442" t="n"/>
    </row>
    <row r="22" ht="0.75" customHeight="1">
      <c r="A22" s="928" t="inlineStr">
        <is>
          <t xml:space="preserve"> </t>
        </is>
      </c>
      <c r="B22" s="859" t="n"/>
      <c r="C22" s="928" t="inlineStr">
        <is>
          <t xml:space="preserve"> </t>
        </is>
      </c>
      <c r="D22" s="859" t="n"/>
      <c r="E22" s="929" t="inlineStr">
        <is>
          <t xml:space="preserve"> </t>
        </is>
      </c>
      <c r="F22" s="437" t="n"/>
      <c r="G22" s="933" t="inlineStr">
        <is>
          <t xml:space="preserve"> </t>
        </is>
      </c>
      <c r="H22" s="859" t="n"/>
      <c r="I22" s="928" t="inlineStr">
        <is>
          <t xml:space="preserve"> </t>
        </is>
      </c>
      <c r="J22" s="859" t="n"/>
      <c r="K22" s="928" t="inlineStr">
        <is>
          <t xml:space="preserve"> </t>
        </is>
      </c>
      <c r="L22" s="859" t="n"/>
    </row>
    <row r="23" hidden="1">
      <c r="A23" s="474" t="n"/>
      <c r="B23" s="442" t="n"/>
      <c r="C23" s="474" t="n"/>
      <c r="D23" s="442" t="n"/>
      <c r="E23" s="474" t="n"/>
      <c r="F23" s="441" t="n"/>
      <c r="G23" s="932" t="n"/>
      <c r="H23" s="442" t="n"/>
      <c r="I23" s="474" t="n"/>
      <c r="J23" s="442" t="n"/>
      <c r="K23" s="474" t="n"/>
      <c r="L23" s="442" t="n"/>
    </row>
    <row r="24" ht="12.75" customHeight="1">
      <c r="A24" s="934" t="inlineStr">
        <is>
          <t>Team / Date</t>
        </is>
      </c>
      <c r="B24" s="859" t="n"/>
      <c r="C24" s="935" t="inlineStr">
        <is>
          <t>Time/initials</t>
        </is>
      </c>
      <c r="D24" s="859" t="n"/>
      <c r="E24" s="936" t="inlineStr">
        <is>
          <t>R# / Bowl #</t>
        </is>
      </c>
      <c r="F24" s="859" t="n"/>
      <c r="G24" s="934" t="inlineStr">
        <is>
          <t>Team / Date</t>
        </is>
      </c>
      <c r="H24" s="859" t="n"/>
      <c r="I24" s="935" t="inlineStr">
        <is>
          <t>Time/initials</t>
        </is>
      </c>
      <c r="J24" s="859" t="n"/>
      <c r="K24" s="936" t="inlineStr">
        <is>
          <t>R# / Bowl #</t>
        </is>
      </c>
      <c r="L24" s="859" t="n"/>
    </row>
    <row r="25" ht="12.75" customHeight="1">
      <c r="A25" s="932" t="n"/>
      <c r="B25" s="442" t="n"/>
      <c r="C25" s="474" t="n"/>
      <c r="D25" s="442" t="n"/>
      <c r="E25" s="474" t="n"/>
      <c r="F25" s="442" t="n"/>
      <c r="G25" s="932" t="n"/>
      <c r="H25" s="442" t="n"/>
      <c r="I25" s="474" t="n"/>
      <c r="J25" s="442" t="n"/>
      <c r="K25" s="474" t="n"/>
      <c r="L25" s="442" t="n"/>
    </row>
    <row r="26">
      <c r="A26" s="928" t="inlineStr">
        <is>
          <t xml:space="preserve"> </t>
        </is>
      </c>
      <c r="B26" s="859" t="n"/>
      <c r="C26" s="928" t="inlineStr">
        <is>
          <t xml:space="preserve"> </t>
        </is>
      </c>
      <c r="D26" s="859" t="n"/>
      <c r="E26" s="929" t="inlineStr">
        <is>
          <t xml:space="preserve"> </t>
        </is>
      </c>
      <c r="F26" s="437" t="n"/>
      <c r="G26" s="933" t="inlineStr">
        <is>
          <t xml:space="preserve"> </t>
        </is>
      </c>
      <c r="H26" s="859" t="n"/>
      <c r="I26" s="928" t="inlineStr">
        <is>
          <t xml:space="preserve"> </t>
        </is>
      </c>
      <c r="J26" s="859" t="n"/>
      <c r="K26" s="928" t="inlineStr">
        <is>
          <t xml:space="preserve"> </t>
        </is>
      </c>
      <c r="L26" s="859" t="n"/>
    </row>
    <row r="27">
      <c r="A27" s="474" t="n"/>
      <c r="B27" s="442" t="n"/>
      <c r="C27" s="474" t="n"/>
      <c r="D27" s="442" t="n"/>
      <c r="E27" s="474" t="n"/>
      <c r="F27" s="441" t="n"/>
      <c r="G27" s="932" t="n"/>
      <c r="H27" s="442" t="n"/>
      <c r="I27" s="474" t="n"/>
      <c r="J27" s="442" t="n"/>
      <c r="K27" s="474" t="n"/>
      <c r="L27" s="442" t="n"/>
    </row>
    <row r="28">
      <c r="A28" s="928" t="inlineStr">
        <is>
          <t xml:space="preserve"> </t>
        </is>
      </c>
      <c r="B28" s="859" t="n"/>
      <c r="C28" s="928" t="inlineStr">
        <is>
          <t xml:space="preserve"> </t>
        </is>
      </c>
      <c r="D28" s="859" t="n"/>
      <c r="E28" s="929" t="inlineStr">
        <is>
          <t xml:space="preserve"> </t>
        </is>
      </c>
      <c r="F28" s="437" t="n"/>
      <c r="G28" s="933" t="inlineStr">
        <is>
          <t xml:space="preserve"> </t>
        </is>
      </c>
      <c r="H28" s="859" t="n"/>
      <c r="I28" s="928" t="inlineStr">
        <is>
          <t xml:space="preserve"> </t>
        </is>
      </c>
      <c r="J28" s="859" t="n"/>
      <c r="K28" s="928" t="inlineStr">
        <is>
          <t xml:space="preserve"> </t>
        </is>
      </c>
      <c r="L28" s="859" t="n"/>
    </row>
    <row r="29">
      <c r="A29" s="474" t="n"/>
      <c r="B29" s="442" t="n"/>
      <c r="C29" s="474" t="n"/>
      <c r="D29" s="442" t="n"/>
      <c r="E29" s="474" t="n"/>
      <c r="F29" s="441" t="n"/>
      <c r="G29" s="932" t="n"/>
      <c r="H29" s="442" t="n"/>
      <c r="I29" s="474" t="n"/>
      <c r="J29" s="442" t="n"/>
      <c r="K29" s="474" t="n"/>
      <c r="L29" s="442" t="n"/>
    </row>
    <row r="30">
      <c r="A30" s="928" t="inlineStr">
        <is>
          <t xml:space="preserve"> </t>
        </is>
      </c>
      <c r="B30" s="859" t="n"/>
      <c r="C30" s="928" t="inlineStr">
        <is>
          <t xml:space="preserve"> </t>
        </is>
      </c>
      <c r="D30" s="859" t="n"/>
      <c r="E30" s="929" t="inlineStr">
        <is>
          <t xml:space="preserve"> </t>
        </is>
      </c>
      <c r="F30" s="437" t="n"/>
      <c r="G30" s="933" t="inlineStr">
        <is>
          <t xml:space="preserve"> </t>
        </is>
      </c>
      <c r="H30" s="859" t="n"/>
      <c r="I30" s="928" t="inlineStr">
        <is>
          <t xml:space="preserve"> </t>
        </is>
      </c>
      <c r="J30" s="859" t="n"/>
      <c r="K30" s="928" t="inlineStr">
        <is>
          <t xml:space="preserve"> </t>
        </is>
      </c>
      <c r="L30" s="859" t="n"/>
    </row>
    <row r="31">
      <c r="A31" s="474" t="n"/>
      <c r="B31" s="442" t="n"/>
      <c r="C31" s="474" t="n"/>
      <c r="D31" s="442" t="n"/>
      <c r="E31" s="474" t="n"/>
      <c r="F31" s="441" t="n"/>
      <c r="G31" s="932" t="n"/>
      <c r="H31" s="442" t="n"/>
      <c r="I31" s="474" t="n"/>
      <c r="J31" s="442" t="n"/>
      <c r="K31" s="474" t="n"/>
      <c r="L31" s="442" t="n"/>
    </row>
    <row r="32">
      <c r="A32" s="928" t="inlineStr">
        <is>
          <t xml:space="preserve"> </t>
        </is>
      </c>
      <c r="B32" s="859" t="n"/>
      <c r="C32" s="928" t="inlineStr">
        <is>
          <t xml:space="preserve"> </t>
        </is>
      </c>
      <c r="D32" s="859" t="n"/>
      <c r="E32" s="929" t="inlineStr">
        <is>
          <t xml:space="preserve"> </t>
        </is>
      </c>
      <c r="F32" s="437" t="n"/>
      <c r="G32" s="933" t="inlineStr">
        <is>
          <t xml:space="preserve"> </t>
        </is>
      </c>
      <c r="H32" s="859" t="n"/>
      <c r="I32" s="928" t="inlineStr">
        <is>
          <t xml:space="preserve"> </t>
        </is>
      </c>
      <c r="J32" s="859" t="n"/>
      <c r="K32" s="928" t="inlineStr">
        <is>
          <t xml:space="preserve"> </t>
        </is>
      </c>
      <c r="L32" s="859" t="n"/>
    </row>
    <row r="33">
      <c r="A33" s="474" t="n"/>
      <c r="B33" s="442" t="n"/>
      <c r="C33" s="474" t="n"/>
      <c r="D33" s="442" t="n"/>
      <c r="E33" s="474" t="n"/>
      <c r="F33" s="441" t="n"/>
      <c r="G33" s="932" t="n"/>
      <c r="H33" s="442" t="n"/>
      <c r="I33" s="474" t="n"/>
      <c r="J33" s="442" t="n"/>
      <c r="K33" s="474" t="n"/>
      <c r="L33" s="442" t="n"/>
    </row>
    <row r="34">
      <c r="A34" s="928" t="inlineStr">
        <is>
          <t xml:space="preserve"> </t>
        </is>
      </c>
      <c r="B34" s="859" t="n"/>
      <c r="C34" s="928" t="inlineStr">
        <is>
          <t xml:space="preserve"> </t>
        </is>
      </c>
      <c r="D34" s="859" t="n"/>
      <c r="E34" s="929" t="inlineStr">
        <is>
          <t xml:space="preserve"> </t>
        </is>
      </c>
      <c r="F34" s="437" t="n"/>
      <c r="G34" s="933" t="inlineStr">
        <is>
          <t xml:space="preserve"> </t>
        </is>
      </c>
      <c r="H34" s="859" t="n"/>
      <c r="I34" s="928" t="inlineStr">
        <is>
          <t xml:space="preserve"> </t>
        </is>
      </c>
      <c r="J34" s="859" t="n"/>
      <c r="K34" s="928" t="inlineStr">
        <is>
          <t xml:space="preserve"> </t>
        </is>
      </c>
      <c r="L34" s="859" t="n"/>
    </row>
    <row r="35">
      <c r="A35" s="474" t="n"/>
      <c r="B35" s="442" t="n"/>
      <c r="C35" s="474" t="n"/>
      <c r="D35" s="442" t="n"/>
      <c r="E35" s="474" t="n"/>
      <c r="F35" s="441" t="n"/>
      <c r="G35" s="932" t="n"/>
      <c r="H35" s="442" t="n"/>
      <c r="I35" s="474" t="n"/>
      <c r="J35" s="442" t="n"/>
      <c r="K35" s="474" t="n"/>
      <c r="L35" s="442" t="n"/>
    </row>
    <row r="36">
      <c r="A36" s="928" t="inlineStr">
        <is>
          <t xml:space="preserve"> </t>
        </is>
      </c>
      <c r="B36" s="859" t="n"/>
      <c r="C36" s="928" t="inlineStr">
        <is>
          <t xml:space="preserve"> </t>
        </is>
      </c>
      <c r="D36" s="859" t="n"/>
      <c r="E36" s="929" t="inlineStr">
        <is>
          <t xml:space="preserve"> </t>
        </is>
      </c>
      <c r="F36" s="437" t="n"/>
      <c r="G36" s="933" t="inlineStr">
        <is>
          <t xml:space="preserve"> </t>
        </is>
      </c>
      <c r="H36" s="859" t="n"/>
      <c r="I36" s="928" t="inlineStr">
        <is>
          <t xml:space="preserve"> </t>
        </is>
      </c>
      <c r="J36" s="859" t="n"/>
      <c r="K36" s="928" t="inlineStr">
        <is>
          <t xml:space="preserve"> </t>
        </is>
      </c>
      <c r="L36" s="859" t="n"/>
    </row>
    <row r="37">
      <c r="A37" s="474" t="n"/>
      <c r="B37" s="442" t="n"/>
      <c r="C37" s="474" t="n"/>
      <c r="D37" s="442" t="n"/>
      <c r="E37" s="474" t="n"/>
      <c r="F37" s="441" t="n"/>
      <c r="G37" s="932" t="n"/>
      <c r="H37" s="442" t="n"/>
      <c r="I37" s="474" t="n"/>
      <c r="J37" s="442" t="n"/>
      <c r="K37" s="474" t="n"/>
      <c r="L37" s="442" t="n"/>
    </row>
    <row r="38">
      <c r="A38" s="928" t="inlineStr">
        <is>
          <t xml:space="preserve"> </t>
        </is>
      </c>
      <c r="B38" s="859" t="n"/>
      <c r="C38" s="928" t="inlineStr">
        <is>
          <t xml:space="preserve"> </t>
        </is>
      </c>
      <c r="D38" s="859" t="n"/>
      <c r="E38" s="929" t="inlineStr">
        <is>
          <t xml:space="preserve"> </t>
        </is>
      </c>
      <c r="F38" s="437" t="n"/>
      <c r="G38" s="933" t="inlineStr">
        <is>
          <t xml:space="preserve"> </t>
        </is>
      </c>
      <c r="H38" s="859" t="n"/>
      <c r="I38" s="928" t="inlineStr">
        <is>
          <t xml:space="preserve"> </t>
        </is>
      </c>
      <c r="J38" s="859" t="n"/>
      <c r="K38" s="928" t="inlineStr">
        <is>
          <t xml:space="preserve"> </t>
        </is>
      </c>
      <c r="L38" s="859" t="n"/>
    </row>
    <row r="39">
      <c r="A39" s="474" t="n"/>
      <c r="B39" s="442" t="n"/>
      <c r="C39" s="474" t="n"/>
      <c r="D39" s="442" t="n"/>
      <c r="E39" s="474" t="n"/>
      <c r="F39" s="441" t="n"/>
      <c r="G39" s="932" t="n"/>
      <c r="H39" s="442" t="n"/>
      <c r="I39" s="474" t="n"/>
      <c r="J39" s="442" t="n"/>
      <c r="K39" s="474" t="n"/>
      <c r="L39" s="442" t="n"/>
    </row>
    <row r="40">
      <c r="A40" s="928" t="inlineStr">
        <is>
          <t xml:space="preserve"> </t>
        </is>
      </c>
      <c r="B40" s="859" t="n"/>
      <c r="C40" s="928" t="inlineStr">
        <is>
          <t xml:space="preserve"> </t>
        </is>
      </c>
      <c r="D40" s="859" t="n"/>
      <c r="E40" s="929" t="inlineStr">
        <is>
          <t xml:space="preserve"> </t>
        </is>
      </c>
      <c r="F40" s="437" t="n"/>
      <c r="G40" s="933" t="inlineStr">
        <is>
          <t xml:space="preserve"> </t>
        </is>
      </c>
      <c r="H40" s="859" t="n"/>
      <c r="I40" s="928" t="inlineStr">
        <is>
          <t xml:space="preserve"> </t>
        </is>
      </c>
      <c r="J40" s="859" t="n"/>
      <c r="K40" s="928" t="inlineStr">
        <is>
          <t xml:space="preserve"> </t>
        </is>
      </c>
      <c r="L40" s="859" t="n"/>
    </row>
    <row r="41">
      <c r="A41" s="474" t="n"/>
      <c r="B41" s="442" t="n"/>
      <c r="C41" s="474" t="n"/>
      <c r="D41" s="442" t="n"/>
      <c r="E41" s="474" t="n"/>
      <c r="F41" s="441" t="n"/>
      <c r="G41" s="932" t="n"/>
      <c r="H41" s="442" t="n"/>
      <c r="I41" s="474" t="n"/>
      <c r="J41" s="442" t="n"/>
      <c r="K41" s="474" t="n"/>
      <c r="L41" s="442" t="n"/>
    </row>
    <row r="42">
      <c r="A42" s="928" t="inlineStr">
        <is>
          <t xml:space="preserve"> </t>
        </is>
      </c>
      <c r="B42" s="859" t="n"/>
      <c r="C42" s="928" t="inlineStr">
        <is>
          <t xml:space="preserve"> </t>
        </is>
      </c>
      <c r="D42" s="859" t="n"/>
      <c r="E42" s="929" t="inlineStr">
        <is>
          <t xml:space="preserve"> </t>
        </is>
      </c>
      <c r="F42" s="437" t="n"/>
      <c r="G42" s="933" t="inlineStr">
        <is>
          <t xml:space="preserve"> </t>
        </is>
      </c>
      <c r="H42" s="859" t="n"/>
      <c r="I42" s="928" t="inlineStr">
        <is>
          <t xml:space="preserve"> </t>
        </is>
      </c>
      <c r="J42" s="859" t="n"/>
      <c r="K42" s="928" t="inlineStr">
        <is>
          <t xml:space="preserve"> </t>
        </is>
      </c>
      <c r="L42" s="859" t="n"/>
    </row>
    <row r="43">
      <c r="A43" s="474" t="n"/>
      <c r="B43" s="442" t="n"/>
      <c r="C43" s="474" t="n"/>
      <c r="D43" s="442" t="n"/>
      <c r="E43" s="474" t="n"/>
      <c r="F43" s="441" t="n"/>
      <c r="G43" s="932" t="n"/>
      <c r="H43" s="442" t="n"/>
      <c r="I43" s="474" t="n"/>
      <c r="J43" s="442" t="n"/>
      <c r="K43" s="474" t="n"/>
      <c r="L43" s="442" t="n"/>
    </row>
    <row r="44">
      <c r="A44" s="928" t="inlineStr">
        <is>
          <t xml:space="preserve"> </t>
        </is>
      </c>
      <c r="B44" s="859" t="n"/>
      <c r="C44" s="928" t="inlineStr">
        <is>
          <t xml:space="preserve"> </t>
        </is>
      </c>
      <c r="D44" s="859" t="n"/>
      <c r="E44" s="929" t="inlineStr">
        <is>
          <t xml:space="preserve"> </t>
        </is>
      </c>
      <c r="F44" s="437" t="n"/>
      <c r="G44" s="933" t="inlineStr">
        <is>
          <t xml:space="preserve"> </t>
        </is>
      </c>
      <c r="H44" s="859" t="n"/>
      <c r="I44" s="928" t="inlineStr">
        <is>
          <t xml:space="preserve"> </t>
        </is>
      </c>
      <c r="J44" s="859" t="n"/>
      <c r="K44" s="928" t="inlineStr">
        <is>
          <t xml:space="preserve"> </t>
        </is>
      </c>
      <c r="L44" s="859" t="n"/>
    </row>
    <row r="45">
      <c r="A45" s="474" t="n"/>
      <c r="B45" s="442" t="n"/>
      <c r="C45" s="474" t="n"/>
      <c r="D45" s="442" t="n"/>
      <c r="E45" s="474" t="n"/>
      <c r="F45" s="441" t="n"/>
      <c r="G45" s="932" t="n"/>
      <c r="H45" s="442" t="n"/>
      <c r="I45" s="474" t="n"/>
      <c r="J45" s="442" t="n"/>
      <c r="K45" s="474" t="n"/>
      <c r="L45" s="442" t="n"/>
    </row>
    <row r="46">
      <c r="A46" s="928" t="inlineStr">
        <is>
          <t xml:space="preserve"> </t>
        </is>
      </c>
      <c r="B46" s="859" t="n"/>
      <c r="C46" s="928" t="inlineStr">
        <is>
          <t xml:space="preserve"> </t>
        </is>
      </c>
      <c r="D46" s="859" t="n"/>
      <c r="E46" s="929" t="inlineStr">
        <is>
          <t xml:space="preserve"> </t>
        </is>
      </c>
      <c r="F46" s="437" t="n"/>
      <c r="G46" s="933" t="inlineStr">
        <is>
          <t xml:space="preserve"> </t>
        </is>
      </c>
      <c r="H46" s="859" t="n"/>
      <c r="I46" s="928" t="inlineStr">
        <is>
          <t xml:space="preserve"> </t>
        </is>
      </c>
      <c r="J46" s="859" t="n"/>
      <c r="K46" s="928" t="inlineStr">
        <is>
          <t xml:space="preserve"> </t>
        </is>
      </c>
      <c r="L46" s="859" t="n"/>
    </row>
    <row r="47">
      <c r="A47" s="474" t="n"/>
      <c r="B47" s="442" t="n"/>
      <c r="C47" s="474" t="n"/>
      <c r="D47" s="442" t="n"/>
      <c r="E47" s="474" t="n"/>
      <c r="F47" s="441" t="n"/>
      <c r="G47" s="932" t="n"/>
      <c r="H47" s="442" t="n"/>
      <c r="I47" s="474" t="n"/>
      <c r="J47" s="442" t="n"/>
      <c r="K47" s="474" t="n"/>
      <c r="L47" s="442" t="n"/>
    </row>
    <row r="48">
      <c r="A48" s="928" t="inlineStr">
        <is>
          <t xml:space="preserve"> </t>
        </is>
      </c>
      <c r="B48" s="859" t="n"/>
      <c r="C48" s="928" t="inlineStr">
        <is>
          <t xml:space="preserve"> </t>
        </is>
      </c>
      <c r="D48" s="859" t="n"/>
      <c r="E48" s="929" t="inlineStr">
        <is>
          <t xml:space="preserve"> </t>
        </is>
      </c>
      <c r="F48" s="437" t="n"/>
      <c r="G48" s="933" t="inlineStr">
        <is>
          <t xml:space="preserve"> </t>
        </is>
      </c>
      <c r="H48" s="859" t="n"/>
      <c r="I48" s="928" t="inlineStr">
        <is>
          <t xml:space="preserve"> </t>
        </is>
      </c>
      <c r="J48" s="859" t="n"/>
      <c r="K48" s="928" t="inlineStr">
        <is>
          <t xml:space="preserve"> </t>
        </is>
      </c>
      <c r="L48" s="859" t="n"/>
    </row>
    <row r="49">
      <c r="A49" s="474" t="n"/>
      <c r="B49" s="442" t="n"/>
      <c r="C49" s="474" t="n"/>
      <c r="D49" s="442" t="n"/>
      <c r="E49" s="474" t="n"/>
      <c r="F49" s="441" t="n"/>
      <c r="G49" s="932" t="n"/>
      <c r="H49" s="442" t="n"/>
      <c r="I49" s="474" t="n"/>
      <c r="J49" s="442" t="n"/>
      <c r="K49" s="474" t="n"/>
      <c r="L49" s="442" t="n"/>
    </row>
    <row r="50">
      <c r="A50" s="928" t="inlineStr">
        <is>
          <t xml:space="preserve"> </t>
        </is>
      </c>
      <c r="B50" s="859" t="n"/>
      <c r="C50" s="928" t="inlineStr">
        <is>
          <t xml:space="preserve"> </t>
        </is>
      </c>
      <c r="D50" s="859" t="n"/>
      <c r="E50" s="929" t="inlineStr">
        <is>
          <t xml:space="preserve"> </t>
        </is>
      </c>
      <c r="F50" s="437" t="n"/>
      <c r="G50" s="933" t="inlineStr">
        <is>
          <t xml:space="preserve"> </t>
        </is>
      </c>
      <c r="H50" s="859" t="n"/>
      <c r="I50" s="928" t="inlineStr">
        <is>
          <t xml:space="preserve"> </t>
        </is>
      </c>
      <c r="J50" s="859" t="n"/>
      <c r="K50" s="928" t="inlineStr">
        <is>
          <t xml:space="preserve"> </t>
        </is>
      </c>
      <c r="L50" s="859" t="n"/>
    </row>
    <row r="51">
      <c r="A51" s="474" t="n"/>
      <c r="B51" s="442" t="n"/>
      <c r="C51" s="474" t="n"/>
      <c r="D51" s="442" t="n"/>
      <c r="E51" s="474" t="n"/>
      <c r="F51" s="441" t="n"/>
      <c r="G51" s="932" t="n"/>
      <c r="H51" s="442" t="n"/>
      <c r="I51" s="474" t="n"/>
      <c r="J51" s="442" t="n"/>
      <c r="K51" s="474" t="n"/>
      <c r="L51" s="442" t="n"/>
    </row>
    <row r="52">
      <c r="A52" s="928" t="inlineStr">
        <is>
          <t xml:space="preserve"> </t>
        </is>
      </c>
      <c r="B52" s="859" t="n"/>
      <c r="C52" s="928" t="inlineStr">
        <is>
          <t xml:space="preserve"> </t>
        </is>
      </c>
      <c r="D52" s="859" t="n"/>
      <c r="E52" s="929" t="inlineStr">
        <is>
          <t xml:space="preserve"> </t>
        </is>
      </c>
      <c r="F52" s="437" t="n"/>
      <c r="G52" s="933" t="inlineStr">
        <is>
          <t xml:space="preserve"> </t>
        </is>
      </c>
      <c r="H52" s="859" t="n"/>
      <c r="I52" s="928" t="inlineStr">
        <is>
          <t xml:space="preserve"> </t>
        </is>
      </c>
      <c r="J52" s="859" t="n"/>
      <c r="K52" s="928" t="inlineStr">
        <is>
          <t xml:space="preserve"> </t>
        </is>
      </c>
      <c r="L52" s="859" t="n"/>
    </row>
    <row r="53">
      <c r="A53" s="474" t="n"/>
      <c r="B53" s="442" t="n"/>
      <c r="C53" s="474" t="n"/>
      <c r="D53" s="442" t="n"/>
      <c r="E53" s="474" t="n"/>
      <c r="F53" s="441" t="n"/>
      <c r="G53" s="932" t="n"/>
      <c r="H53" s="442" t="n"/>
      <c r="I53" s="474" t="n"/>
      <c r="J53" s="442" t="n"/>
      <c r="K53" s="474" t="n"/>
      <c r="L53" s="442" t="n"/>
    </row>
  </sheetData>
  <sheetProtection selectLockedCells="0" selectUnlockedCells="0" sheet="1" objects="1" insertRows="1" insertHyperlinks="1" autoFilter="1" scenarios="1" formatColumns="1" deleteColumns="1" insertColumns="1" pivotTables="1" deleteRows="1" formatCells="1" formatRows="1" sort="1"/>
  <mergeCells count="128">
    <mergeCell ref="A52:B53"/>
    <mergeCell ref="C52:D53"/>
    <mergeCell ref="E52:F53"/>
    <mergeCell ref="G52:H53"/>
    <mergeCell ref="I52:J53"/>
    <mergeCell ref="K52:L53"/>
    <mergeCell ref="A50:B51"/>
    <mergeCell ref="C50:D51"/>
    <mergeCell ref="E50:F51"/>
    <mergeCell ref="G50:H51"/>
    <mergeCell ref="I50:J51"/>
    <mergeCell ref="K50:L51"/>
    <mergeCell ref="A48:B49"/>
    <mergeCell ref="C48:D49"/>
    <mergeCell ref="E48:F49"/>
    <mergeCell ref="G48:H49"/>
    <mergeCell ref="I48:J49"/>
    <mergeCell ref="K48:L49"/>
    <mergeCell ref="A46:B47"/>
    <mergeCell ref="C46:D47"/>
    <mergeCell ref="E46:F47"/>
    <mergeCell ref="G46:H47"/>
    <mergeCell ref="I46:J47"/>
    <mergeCell ref="K46:L47"/>
    <mergeCell ref="A44:B45"/>
    <mergeCell ref="C44:D45"/>
    <mergeCell ref="E44:F45"/>
    <mergeCell ref="G44:H45"/>
    <mergeCell ref="I44:J45"/>
    <mergeCell ref="K44:L45"/>
    <mergeCell ref="A42:B43"/>
    <mergeCell ref="C42:D43"/>
    <mergeCell ref="E42:F43"/>
    <mergeCell ref="G42:H43"/>
    <mergeCell ref="I42:J43"/>
    <mergeCell ref="K42:L43"/>
    <mergeCell ref="A40:B41"/>
    <mergeCell ref="C40:D41"/>
    <mergeCell ref="E40:F41"/>
    <mergeCell ref="G40:H41"/>
    <mergeCell ref="I40:J41"/>
    <mergeCell ref="K40:L41"/>
    <mergeCell ref="A38:B39"/>
    <mergeCell ref="C38:D39"/>
    <mergeCell ref="E38:F39"/>
    <mergeCell ref="G38:H39"/>
    <mergeCell ref="I38:J39"/>
    <mergeCell ref="K38:L39"/>
    <mergeCell ref="A36:B37"/>
    <mergeCell ref="C36:D37"/>
    <mergeCell ref="E36:F37"/>
    <mergeCell ref="G36:H37"/>
    <mergeCell ref="I36:J37"/>
    <mergeCell ref="K36:L37"/>
    <mergeCell ref="A34:B35"/>
    <mergeCell ref="C34:D35"/>
    <mergeCell ref="E34:F35"/>
    <mergeCell ref="G34:H35"/>
    <mergeCell ref="I34:J35"/>
    <mergeCell ref="K34:L35"/>
    <mergeCell ref="A32:B33"/>
    <mergeCell ref="C32:D33"/>
    <mergeCell ref="E32:F33"/>
    <mergeCell ref="G32:H33"/>
    <mergeCell ref="I32:J33"/>
    <mergeCell ref="K32:L33"/>
    <mergeCell ref="A30:B31"/>
    <mergeCell ref="C30:D31"/>
    <mergeCell ref="E30:F31"/>
    <mergeCell ref="G30:H31"/>
    <mergeCell ref="I30:J31"/>
    <mergeCell ref="K30:L31"/>
    <mergeCell ref="A28:B29"/>
    <mergeCell ref="C28:D29"/>
    <mergeCell ref="E28:F29"/>
    <mergeCell ref="G28:H29"/>
    <mergeCell ref="I28:J29"/>
    <mergeCell ref="K28:L29"/>
    <mergeCell ref="A26:B27"/>
    <mergeCell ref="C26:D27"/>
    <mergeCell ref="E26:F27"/>
    <mergeCell ref="G26:H27"/>
    <mergeCell ref="I26:J27"/>
    <mergeCell ref="K26:L27"/>
    <mergeCell ref="A24:B25"/>
    <mergeCell ref="C24:D25"/>
    <mergeCell ref="E24:F25"/>
    <mergeCell ref="G24:H25"/>
    <mergeCell ref="I24:J25"/>
    <mergeCell ref="K24:L25"/>
    <mergeCell ref="A22:B23"/>
    <mergeCell ref="C22:D23"/>
    <mergeCell ref="E22:F23"/>
    <mergeCell ref="G22:H23"/>
    <mergeCell ref="I22:J23"/>
    <mergeCell ref="K22:L23"/>
    <mergeCell ref="A13:E14"/>
    <mergeCell ref="F13:L15"/>
    <mergeCell ref="A15:E18"/>
    <mergeCell ref="F16:L18"/>
    <mergeCell ref="A20:B21"/>
    <mergeCell ref="C20:D21"/>
    <mergeCell ref="E20:F21"/>
    <mergeCell ref="G20:H21"/>
    <mergeCell ref="I20:J21"/>
    <mergeCell ref="K20:L21"/>
    <mergeCell ref="A9:E11"/>
    <mergeCell ref="F9:L10"/>
    <mergeCell ref="F11:L12"/>
    <mergeCell ref="A12:E12"/>
    <mergeCell ref="A4:B4"/>
    <mergeCell ref="C4:G4"/>
    <mergeCell ref="H4:I4"/>
    <mergeCell ref="J4:L4"/>
    <mergeCell ref="A5:B5"/>
    <mergeCell ref="D5:E5"/>
    <mergeCell ref="F5:G5"/>
    <mergeCell ref="H5:I5"/>
    <mergeCell ref="J5:L5"/>
    <mergeCell ref="A1:A2"/>
    <mergeCell ref="B1:D1"/>
    <mergeCell ref="F1:I1"/>
    <mergeCell ref="J1:L1"/>
    <mergeCell ref="B2:D2"/>
    <mergeCell ref="E2:F2"/>
    <mergeCell ref="G2:L2"/>
    <mergeCell ref="A8:E8"/>
    <mergeCell ref="F8:L8"/>
  </mergeCells>
  <pageMargins left="0.33" right="0" top="0.3" bottom="0.3" header="0.25" footer="0.25"/>
  <pageSetup orientation="portrait" scale="89"/>
  <headerFooter alignWithMargins="0">
    <oddHeader/>
    <oddFooter>&amp;LNETWORK ADDRESS:  MPCI data\Forms\_x000a_Production_ Operation forms&amp;C                           &amp;RRETENTION REQUIREMENT:  Maintained with the _x000a_Job Packet for 3 years</oddFooter>
    <evenHeader/>
    <evenFooter/>
    <firstHeader/>
    <firstFooter/>
  </headerFooter>
</worksheet>
</file>

<file path=xl/worksheets/sheet16.xml><?xml version="1.0" encoding="utf-8"?>
<worksheet xmlns="http://schemas.openxmlformats.org/spreadsheetml/2006/main">
  <sheetPr codeName="Sheet19">
    <outlinePr summaryBelow="1" summaryRight="1"/>
    <pageSetUpPr/>
  </sheetPr>
  <dimension ref="A1:CE53"/>
  <sheetViews>
    <sheetView showGridLines="0" view="pageBreakPreview" zoomScaleNormal="100" zoomScaleSheetLayoutView="100" workbookViewId="0">
      <selection activeCell="A1" sqref="A1:A2"/>
    </sheetView>
  </sheetViews>
  <sheetFormatPr baseColWidth="8" defaultRowHeight="12.5"/>
  <cols>
    <col width="8.7265625" customWidth="1" style="662" min="1" max="12"/>
    <col width="11.1796875" customWidth="1" style="662" min="13" max="13"/>
    <col width="9.1796875" customWidth="1" style="662" min="14" max="256"/>
    <col width="8.7265625" customWidth="1" style="662" min="257" max="268"/>
    <col width="11.1796875" customWidth="1" style="662" min="269" max="269"/>
    <col width="9.1796875" customWidth="1" style="662" min="270" max="512"/>
    <col width="8.7265625" customWidth="1" style="662" min="513" max="524"/>
    <col width="11.1796875" customWidth="1" style="662" min="525" max="525"/>
    <col width="9.1796875" customWidth="1" style="662" min="526" max="768"/>
    <col width="8.7265625" customWidth="1" style="662" min="769" max="780"/>
    <col width="11.1796875" customWidth="1" style="662" min="781" max="781"/>
    <col width="9.1796875" customWidth="1" style="662" min="782" max="1024"/>
    <col width="8.7265625" customWidth="1" style="662" min="1025" max="1036"/>
    <col width="11.1796875" customWidth="1" style="662" min="1037" max="1037"/>
    <col width="9.1796875" customWidth="1" style="662" min="1038" max="1280"/>
    <col width="8.7265625" customWidth="1" style="662" min="1281" max="1292"/>
    <col width="11.1796875" customWidth="1" style="662" min="1293" max="1293"/>
    <col width="9.1796875" customWidth="1" style="662" min="1294" max="1536"/>
    <col width="8.7265625" customWidth="1" style="662" min="1537" max="1548"/>
    <col width="11.1796875" customWidth="1" style="662" min="1549" max="1549"/>
    <col width="9.1796875" customWidth="1" style="662" min="1550" max="1792"/>
    <col width="8.7265625" customWidth="1" style="662" min="1793" max="1804"/>
    <col width="11.1796875" customWidth="1" style="662" min="1805" max="1805"/>
    <col width="9.1796875" customWidth="1" style="662" min="1806" max="2048"/>
    <col width="8.7265625" customWidth="1" style="662" min="2049" max="2060"/>
    <col width="11.1796875" customWidth="1" style="662" min="2061" max="2061"/>
    <col width="9.1796875" customWidth="1" style="662" min="2062" max="2304"/>
    <col width="8.7265625" customWidth="1" style="662" min="2305" max="2316"/>
    <col width="11.1796875" customWidth="1" style="662" min="2317" max="2317"/>
    <col width="9.1796875" customWidth="1" style="662" min="2318" max="2560"/>
    <col width="8.7265625" customWidth="1" style="662" min="2561" max="2572"/>
    <col width="11.1796875" customWidth="1" style="662" min="2573" max="2573"/>
    <col width="9.1796875" customWidth="1" style="662" min="2574" max="2816"/>
    <col width="8.7265625" customWidth="1" style="662" min="2817" max="2828"/>
    <col width="11.1796875" customWidth="1" style="662" min="2829" max="2829"/>
    <col width="9.1796875" customWidth="1" style="662" min="2830" max="3072"/>
    <col width="8.7265625" customWidth="1" style="662" min="3073" max="3084"/>
    <col width="11.1796875" customWidth="1" style="662" min="3085" max="3085"/>
    <col width="9.1796875" customWidth="1" style="662" min="3086" max="3328"/>
    <col width="8.7265625" customWidth="1" style="662" min="3329" max="3340"/>
    <col width="11.1796875" customWidth="1" style="662" min="3341" max="3341"/>
    <col width="9.1796875" customWidth="1" style="662" min="3342" max="3584"/>
    <col width="8.7265625" customWidth="1" style="662" min="3585" max="3596"/>
    <col width="11.1796875" customWidth="1" style="662" min="3597" max="3597"/>
    <col width="9.1796875" customWidth="1" style="662" min="3598" max="3840"/>
    <col width="8.7265625" customWidth="1" style="662" min="3841" max="3852"/>
    <col width="11.1796875" customWidth="1" style="662" min="3853" max="3853"/>
    <col width="9.1796875" customWidth="1" style="662" min="3854" max="4096"/>
    <col width="8.7265625" customWidth="1" style="662" min="4097" max="4108"/>
    <col width="11.1796875" customWidth="1" style="662" min="4109" max="4109"/>
    <col width="9.1796875" customWidth="1" style="662" min="4110" max="4352"/>
    <col width="8.7265625" customWidth="1" style="662" min="4353" max="4364"/>
    <col width="11.1796875" customWidth="1" style="662" min="4365" max="4365"/>
    <col width="9.1796875" customWidth="1" style="662" min="4366" max="4608"/>
    <col width="8.7265625" customWidth="1" style="662" min="4609" max="4620"/>
    <col width="11.1796875" customWidth="1" style="662" min="4621" max="4621"/>
    <col width="9.1796875" customWidth="1" style="662" min="4622" max="4864"/>
    <col width="8.7265625" customWidth="1" style="662" min="4865" max="4876"/>
    <col width="11.1796875" customWidth="1" style="662" min="4877" max="4877"/>
    <col width="9.1796875" customWidth="1" style="662" min="4878" max="5120"/>
    <col width="8.7265625" customWidth="1" style="662" min="5121" max="5132"/>
    <col width="11.1796875" customWidth="1" style="662" min="5133" max="5133"/>
    <col width="9.1796875" customWidth="1" style="662" min="5134" max="5376"/>
    <col width="8.7265625" customWidth="1" style="662" min="5377" max="5388"/>
    <col width="11.1796875" customWidth="1" style="662" min="5389" max="5389"/>
    <col width="9.1796875" customWidth="1" style="662" min="5390" max="5632"/>
    <col width="8.7265625" customWidth="1" style="662" min="5633" max="5644"/>
    <col width="11.1796875" customWidth="1" style="662" min="5645" max="5645"/>
    <col width="9.1796875" customWidth="1" style="662" min="5646" max="5888"/>
    <col width="8.7265625" customWidth="1" style="662" min="5889" max="5900"/>
    <col width="11.1796875" customWidth="1" style="662" min="5901" max="5901"/>
    <col width="9.1796875" customWidth="1" style="662" min="5902" max="6144"/>
    <col width="8.7265625" customWidth="1" style="662" min="6145" max="6156"/>
    <col width="11.1796875" customWidth="1" style="662" min="6157" max="6157"/>
    <col width="9.1796875" customWidth="1" style="662" min="6158" max="6400"/>
    <col width="8.7265625" customWidth="1" style="662" min="6401" max="6412"/>
    <col width="11.1796875" customWidth="1" style="662" min="6413" max="6413"/>
    <col width="9.1796875" customWidth="1" style="662" min="6414" max="6656"/>
    <col width="8.7265625" customWidth="1" style="662" min="6657" max="6668"/>
    <col width="11.1796875" customWidth="1" style="662" min="6669" max="6669"/>
    <col width="9.1796875" customWidth="1" style="662" min="6670" max="6912"/>
    <col width="8.7265625" customWidth="1" style="662" min="6913" max="6924"/>
    <col width="11.1796875" customWidth="1" style="662" min="6925" max="6925"/>
    <col width="9.1796875" customWidth="1" style="662" min="6926" max="7168"/>
    <col width="8.7265625" customWidth="1" style="662" min="7169" max="7180"/>
    <col width="11.1796875" customWidth="1" style="662" min="7181" max="7181"/>
    <col width="9.1796875" customWidth="1" style="662" min="7182" max="7424"/>
    <col width="8.7265625" customWidth="1" style="662" min="7425" max="7436"/>
    <col width="11.1796875" customWidth="1" style="662" min="7437" max="7437"/>
    <col width="9.1796875" customWidth="1" style="662" min="7438" max="7680"/>
    <col width="8.7265625" customWidth="1" style="662" min="7681" max="7692"/>
    <col width="11.1796875" customWidth="1" style="662" min="7693" max="7693"/>
    <col width="9.1796875" customWidth="1" style="662" min="7694" max="7936"/>
    <col width="8.7265625" customWidth="1" style="662" min="7937" max="7948"/>
    <col width="11.1796875" customWidth="1" style="662" min="7949" max="7949"/>
    <col width="9.1796875" customWidth="1" style="662" min="7950" max="8192"/>
    <col width="8.7265625" customWidth="1" style="662" min="8193" max="8204"/>
    <col width="11.1796875" customWidth="1" style="662" min="8205" max="8205"/>
    <col width="9.1796875" customWidth="1" style="662" min="8206" max="8448"/>
    <col width="8.7265625" customWidth="1" style="662" min="8449" max="8460"/>
    <col width="11.1796875" customWidth="1" style="662" min="8461" max="8461"/>
    <col width="9.1796875" customWidth="1" style="662" min="8462" max="8704"/>
    <col width="8.7265625" customWidth="1" style="662" min="8705" max="8716"/>
    <col width="11.1796875" customWidth="1" style="662" min="8717" max="8717"/>
    <col width="9.1796875" customWidth="1" style="662" min="8718" max="8960"/>
    <col width="8.7265625" customWidth="1" style="662" min="8961" max="8972"/>
    <col width="11.1796875" customWidth="1" style="662" min="8973" max="8973"/>
    <col width="9.1796875" customWidth="1" style="662" min="8974" max="9216"/>
    <col width="8.7265625" customWidth="1" style="662" min="9217" max="9228"/>
    <col width="11.1796875" customWidth="1" style="662" min="9229" max="9229"/>
    <col width="9.1796875" customWidth="1" style="662" min="9230" max="9472"/>
    <col width="8.7265625" customWidth="1" style="662" min="9473" max="9484"/>
    <col width="11.1796875" customWidth="1" style="662" min="9485" max="9485"/>
    <col width="9.1796875" customWidth="1" style="662" min="9486" max="9728"/>
    <col width="8.7265625" customWidth="1" style="662" min="9729" max="9740"/>
    <col width="11.1796875" customWidth="1" style="662" min="9741" max="9741"/>
    <col width="9.1796875" customWidth="1" style="662" min="9742" max="9984"/>
    <col width="8.7265625" customWidth="1" style="662" min="9985" max="9996"/>
    <col width="11.1796875" customWidth="1" style="662" min="9997" max="9997"/>
    <col width="9.1796875" customWidth="1" style="662" min="9998" max="10240"/>
    <col width="8.7265625" customWidth="1" style="662" min="10241" max="10252"/>
    <col width="11.1796875" customWidth="1" style="662" min="10253" max="10253"/>
    <col width="9.1796875" customWidth="1" style="662" min="10254" max="10496"/>
    <col width="8.7265625" customWidth="1" style="662" min="10497" max="10508"/>
    <col width="11.1796875" customWidth="1" style="662" min="10509" max="10509"/>
    <col width="9.1796875" customWidth="1" style="662" min="10510" max="10752"/>
    <col width="8.7265625" customWidth="1" style="662" min="10753" max="10764"/>
    <col width="11.1796875" customWidth="1" style="662" min="10765" max="10765"/>
    <col width="9.1796875" customWidth="1" style="662" min="10766" max="11008"/>
    <col width="8.7265625" customWidth="1" style="662" min="11009" max="11020"/>
    <col width="11.1796875" customWidth="1" style="662" min="11021" max="11021"/>
    <col width="9.1796875" customWidth="1" style="662" min="11022" max="11264"/>
    <col width="8.7265625" customWidth="1" style="662" min="11265" max="11276"/>
    <col width="11.1796875" customWidth="1" style="662" min="11277" max="11277"/>
    <col width="9.1796875" customWidth="1" style="662" min="11278" max="11520"/>
    <col width="8.7265625" customWidth="1" style="662" min="11521" max="11532"/>
    <col width="11.1796875" customWidth="1" style="662" min="11533" max="11533"/>
    <col width="9.1796875" customWidth="1" style="662" min="11534" max="11776"/>
    <col width="8.7265625" customWidth="1" style="662" min="11777" max="11788"/>
    <col width="11.1796875" customWidth="1" style="662" min="11789" max="11789"/>
    <col width="9.1796875" customWidth="1" style="662" min="11790" max="12032"/>
    <col width="8.7265625" customWidth="1" style="662" min="12033" max="12044"/>
    <col width="11.1796875" customWidth="1" style="662" min="12045" max="12045"/>
    <col width="9.1796875" customWidth="1" style="662" min="12046" max="12288"/>
    <col width="8.7265625" customWidth="1" style="662" min="12289" max="12300"/>
    <col width="11.1796875" customWidth="1" style="662" min="12301" max="12301"/>
    <col width="9.1796875" customWidth="1" style="662" min="12302" max="12544"/>
    <col width="8.7265625" customWidth="1" style="662" min="12545" max="12556"/>
    <col width="11.1796875" customWidth="1" style="662" min="12557" max="12557"/>
    <col width="9.1796875" customWidth="1" style="662" min="12558" max="12800"/>
    <col width="8.7265625" customWidth="1" style="662" min="12801" max="12812"/>
    <col width="11.1796875" customWidth="1" style="662" min="12813" max="12813"/>
    <col width="9.1796875" customWidth="1" style="662" min="12814" max="13056"/>
    <col width="8.7265625" customWidth="1" style="662" min="13057" max="13068"/>
    <col width="11.1796875" customWidth="1" style="662" min="13069" max="13069"/>
    <col width="9.1796875" customWidth="1" style="662" min="13070" max="13312"/>
    <col width="8.7265625" customWidth="1" style="662" min="13313" max="13324"/>
    <col width="11.1796875" customWidth="1" style="662" min="13325" max="13325"/>
    <col width="9.1796875" customWidth="1" style="662" min="13326" max="13568"/>
    <col width="8.7265625" customWidth="1" style="662" min="13569" max="13580"/>
    <col width="11.1796875" customWidth="1" style="662" min="13581" max="13581"/>
    <col width="9.1796875" customWidth="1" style="662" min="13582" max="13824"/>
    <col width="8.7265625" customWidth="1" style="662" min="13825" max="13836"/>
    <col width="11.1796875" customWidth="1" style="662" min="13837" max="13837"/>
    <col width="9.1796875" customWidth="1" style="662" min="13838" max="14080"/>
    <col width="8.7265625" customWidth="1" style="662" min="14081" max="14092"/>
    <col width="11.1796875" customWidth="1" style="662" min="14093" max="14093"/>
    <col width="9.1796875" customWidth="1" style="662" min="14094" max="14336"/>
    <col width="8.7265625" customWidth="1" style="662" min="14337" max="14348"/>
    <col width="11.1796875" customWidth="1" style="662" min="14349" max="14349"/>
    <col width="9.1796875" customWidth="1" style="662" min="14350" max="14592"/>
    <col width="8.7265625" customWidth="1" style="662" min="14593" max="14604"/>
    <col width="11.1796875" customWidth="1" style="662" min="14605" max="14605"/>
    <col width="9.1796875" customWidth="1" style="662" min="14606" max="14848"/>
    <col width="8.7265625" customWidth="1" style="662" min="14849" max="14860"/>
    <col width="11.1796875" customWidth="1" style="662" min="14861" max="14861"/>
    <col width="9.1796875" customWidth="1" style="662" min="14862" max="15104"/>
    <col width="8.7265625" customWidth="1" style="662" min="15105" max="15116"/>
    <col width="11.1796875" customWidth="1" style="662" min="15117" max="15117"/>
    <col width="9.1796875" customWidth="1" style="662" min="15118" max="15360"/>
    <col width="8.7265625" customWidth="1" style="662" min="15361" max="15372"/>
    <col width="11.1796875" customWidth="1" style="662" min="15373" max="15373"/>
    <col width="9.1796875" customWidth="1" style="662" min="15374" max="15616"/>
    <col width="8.7265625" customWidth="1" style="662" min="15617" max="15628"/>
    <col width="11.1796875" customWidth="1" style="662" min="15629" max="15629"/>
    <col width="9.1796875" customWidth="1" style="662" min="15630" max="15872"/>
    <col width="8.7265625" customWidth="1" style="662" min="15873" max="15884"/>
    <col width="11.1796875" customWidth="1" style="662" min="15885" max="15885"/>
    <col width="9.1796875" customWidth="1" style="662" min="15886" max="16128"/>
    <col width="8.7265625" customWidth="1" style="662" min="16129" max="16140"/>
    <col width="11.1796875" customWidth="1" style="662" min="16141" max="16141"/>
    <col width="9.1796875" customWidth="1" style="662" min="16142" max="16384"/>
  </cols>
  <sheetData>
    <row r="1" ht="50.25" customHeight="1">
      <c r="A1" s="916" t="inlineStr">
        <is>
          <t>MPCI</t>
        </is>
      </c>
      <c r="B1" s="714" t="inlineStr">
        <is>
          <t>FEEDER LOG</t>
        </is>
      </c>
      <c r="C1" s="437" t="n"/>
      <c r="D1" s="437" t="n"/>
      <c r="E1" s="630" t="inlineStr">
        <is>
          <t>DOC:        FRM-104</t>
        </is>
      </c>
      <c r="F1" s="558" t="inlineStr">
        <is>
          <t>REVISION LEVEL: 011</t>
        </is>
      </c>
      <c r="G1" s="856" t="n"/>
      <c r="H1" s="856" t="n"/>
      <c r="I1" s="857" t="n"/>
      <c r="J1" s="560" t="inlineStr">
        <is>
          <t>ISSUE DATE: 9/30/19</t>
        </is>
      </c>
      <c r="K1" s="856" t="n"/>
      <c r="L1" s="857" t="n"/>
      <c r="M1" s="179" t="n"/>
      <c r="T1" s="46" t="n"/>
      <c r="U1" s="46" t="n"/>
      <c r="V1" s="46" t="n"/>
      <c r="W1" s="46" t="n"/>
      <c r="X1" s="46" t="n"/>
      <c r="Y1" s="46" t="n"/>
      <c r="Z1" s="46" t="n"/>
      <c r="AA1" s="46" t="n"/>
      <c r="AB1" s="46" t="n"/>
      <c r="AC1" s="46" t="n"/>
      <c r="AD1" s="46" t="n"/>
      <c r="AE1" s="46" t="n"/>
      <c r="AF1" s="46" t="n"/>
      <c r="AG1" s="46" t="n"/>
      <c r="AH1" s="46" t="n"/>
      <c r="AI1" s="46" t="n"/>
      <c r="AJ1" s="46" t="n"/>
      <c r="AK1" s="46" t="n"/>
      <c r="AL1" s="46" t="n"/>
      <c r="AM1" s="46" t="n"/>
      <c r="AN1" s="46" t="n"/>
      <c r="AO1" s="46" t="n"/>
      <c r="AP1" s="46" t="n"/>
      <c r="AQ1" s="46" t="n"/>
      <c r="AR1" s="46" t="n"/>
      <c r="AS1" s="46" t="n"/>
      <c r="AT1" s="46" t="n"/>
      <c r="AU1" s="46" t="n"/>
      <c r="AV1" s="46" t="n"/>
      <c r="AW1" s="46" t="n"/>
      <c r="AX1" s="46" t="n"/>
      <c r="AY1" s="46" t="n"/>
      <c r="AZ1" s="46" t="n"/>
      <c r="BA1" s="46" t="n"/>
      <c r="BB1" s="46" t="n"/>
      <c r="BC1" s="46" t="n"/>
      <c r="BD1" s="46" t="n"/>
      <c r="BE1" s="46" t="n"/>
      <c r="BF1" s="46" t="n"/>
      <c r="BG1" s="46" t="n"/>
      <c r="BH1" s="46" t="n"/>
      <c r="BI1" s="46" t="n"/>
      <c r="BJ1" s="46" t="n"/>
      <c r="BK1" s="46" t="n"/>
      <c r="BL1" s="46" t="n"/>
      <c r="BM1" s="46" t="n"/>
      <c r="BN1" s="46" t="n"/>
      <c r="BO1" s="46" t="n"/>
      <c r="BP1" s="46" t="n"/>
      <c r="BR1" s="46" t="n"/>
      <c r="BS1" s="46" t="n"/>
      <c r="BT1" s="46" t="n"/>
      <c r="BU1" s="46" t="n"/>
      <c r="BV1" s="46" t="n"/>
      <c r="BW1" s="46" t="n"/>
      <c r="BX1" s="46" t="n"/>
      <c r="BY1" s="46" t="n"/>
      <c r="BZ1" s="46" t="n"/>
      <c r="CA1" s="46" t="n"/>
      <c r="CB1" s="46" t="n"/>
      <c r="CC1" s="46" t="n"/>
      <c r="CD1" s="46" t="n"/>
      <c r="CE1" s="46" t="n"/>
    </row>
    <row r="2" ht="30" customHeight="1">
      <c r="A2" s="846" t="n"/>
      <c r="B2" s="917" t="inlineStr">
        <is>
          <t>Form Reviewed by: Quality Coordinator</t>
        </is>
      </c>
      <c r="C2" s="856" t="n"/>
      <c r="D2" s="857" t="n"/>
      <c r="E2" s="558" t="inlineStr">
        <is>
          <t>Form Approved by: Site Manager</t>
        </is>
      </c>
      <c r="F2" s="857" t="n"/>
      <c r="G2" s="558" t="inlineStr">
        <is>
          <t>Reference:  Feeder Operation PRO-010;                                           Process Step # 4 "Feeding"</t>
        </is>
      </c>
      <c r="H2" s="856" t="n"/>
      <c r="I2" s="856" t="n"/>
      <c r="J2" s="856" t="n"/>
      <c r="K2" s="856" t="n"/>
      <c r="L2" s="857" t="n"/>
      <c r="M2" s="179" t="n"/>
      <c r="N2" s="258" t="n"/>
      <c r="O2" s="258" t="n"/>
      <c r="T2" s="46" t="n"/>
      <c r="U2" s="46" t="n"/>
      <c r="V2" s="46" t="n"/>
      <c r="W2" s="46" t="n"/>
      <c r="X2" s="46" t="n"/>
      <c r="Y2" s="46" t="n"/>
      <c r="Z2" s="46" t="n"/>
      <c r="AA2" s="46" t="n"/>
      <c r="AB2" s="46" t="n"/>
      <c r="AC2" s="46" t="n"/>
      <c r="AD2" s="46" t="n"/>
      <c r="AE2" s="46" t="n"/>
      <c r="AF2" s="46" t="n"/>
      <c r="AG2" s="46" t="n"/>
      <c r="AH2" s="46" t="n"/>
      <c r="AI2" s="46" t="n"/>
      <c r="AJ2" s="46" t="n"/>
      <c r="AK2" s="46" t="n"/>
      <c r="AL2" s="46" t="n"/>
      <c r="AM2" s="46" t="n"/>
      <c r="AN2" s="46" t="n"/>
      <c r="AO2" s="46" t="n"/>
      <c r="AP2" s="46" t="n"/>
      <c r="AQ2" s="46" t="n"/>
      <c r="AR2" s="46" t="n"/>
      <c r="AS2" s="46" t="n"/>
      <c r="AT2" s="46" t="n"/>
      <c r="AU2" s="46" t="n"/>
      <c r="AV2" s="46" t="n"/>
      <c r="AW2" s="46" t="n"/>
      <c r="AX2" s="46" t="n"/>
      <c r="AY2" s="46" t="n"/>
      <c r="AZ2" s="46" t="n"/>
      <c r="BA2" s="46" t="n"/>
      <c r="BB2" s="46" t="n"/>
      <c r="BC2" s="46" t="n"/>
      <c r="BD2" s="46" t="n"/>
      <c r="BE2" s="46" t="n"/>
      <c r="BF2" s="46" t="n"/>
      <c r="BG2" s="46" t="n"/>
      <c r="BH2" s="46" t="n"/>
      <c r="BI2" s="46" t="n"/>
      <c r="BJ2" s="46" t="n"/>
      <c r="BK2" s="46" t="n"/>
      <c r="BL2" s="46" t="n"/>
      <c r="BM2" s="46" t="n"/>
      <c r="BN2" s="46" t="n"/>
      <c r="BO2" s="46" t="n"/>
      <c r="BP2" s="46" t="n"/>
      <c r="BR2" s="47" t="n"/>
      <c r="BS2" s="47" t="n"/>
      <c r="BT2" s="47" t="n"/>
      <c r="BU2" s="47" t="n"/>
      <c r="BV2" s="47" t="n"/>
      <c r="BW2" s="47" t="n"/>
      <c r="BX2" s="47" t="n"/>
      <c r="BY2" s="47" t="n"/>
      <c r="BZ2" s="47" t="n"/>
      <c r="CA2" s="47" t="n"/>
      <c r="CB2" s="47" t="n"/>
      <c r="CC2" s="47" t="n"/>
      <c r="CD2" s="47" t="n"/>
      <c r="CE2" s="47" t="n"/>
    </row>
    <row r="3" ht="7.5" customHeight="1">
      <c r="J3" s="653" t="n"/>
      <c r="K3" s="653" t="n"/>
      <c r="L3" s="653" t="n"/>
    </row>
    <row r="4" ht="24" customFormat="1" customHeight="1" s="248">
      <c r="A4" s="918" t="inlineStr">
        <is>
          <t>RAW MATERIAL:</t>
        </is>
      </c>
      <c r="B4" s="857" t="n"/>
      <c r="C4" s="743">
        <f>PACKET!G12</f>
        <v/>
      </c>
      <c r="D4" s="856" t="n"/>
      <c r="E4" s="856" t="n"/>
      <c r="F4" s="856" t="n"/>
      <c r="G4" s="856" t="n"/>
      <c r="H4" s="919" t="inlineStr">
        <is>
          <t>JOB NUMBER:</t>
        </is>
      </c>
      <c r="I4" s="857" t="n"/>
      <c r="J4" s="920">
        <f>PACKET!C27</f>
        <v/>
      </c>
      <c r="K4" s="856" t="n"/>
      <c r="L4" s="857" t="n"/>
    </row>
    <row r="5" ht="26.25" customFormat="1" customHeight="1" s="248">
      <c r="A5" s="918" t="inlineStr">
        <is>
          <t>LINE NUMBER:</t>
        </is>
      </c>
      <c r="B5" s="857" t="n"/>
      <c r="C5" s="259">
        <f>PACKET!C26</f>
        <v/>
      </c>
      <c r="D5" s="918" t="inlineStr">
        <is>
          <t>FEEDER NUMBER:</t>
        </is>
      </c>
      <c r="E5" s="857" t="n"/>
      <c r="F5" s="920" t="inlineStr">
        <is>
          <t>EIGHT</t>
        </is>
      </c>
      <c r="G5" s="857" t="n"/>
      <c r="H5" s="919" t="inlineStr">
        <is>
          <t>T.L. APPROVAL:</t>
        </is>
      </c>
      <c r="I5" s="857" t="n"/>
      <c r="J5" s="259">
        <f>PACKET!C5</f>
        <v/>
      </c>
      <c r="K5" s="856" t="n"/>
      <c r="L5" s="857" t="n"/>
    </row>
    <row r="6" ht="9.75" customFormat="1" customHeight="1" s="248">
      <c r="A6" s="260" t="n"/>
      <c r="B6" s="260" t="n"/>
      <c r="C6" s="261" t="n"/>
      <c r="D6" s="260" t="n"/>
      <c r="E6" s="260" t="n"/>
      <c r="F6" s="262" t="n"/>
      <c r="G6" s="170" t="n"/>
      <c r="H6" s="169" t="n"/>
      <c r="I6" s="169" t="n"/>
      <c r="J6" s="263" t="n"/>
      <c r="K6" s="263" t="n"/>
      <c r="L6" s="263" t="n"/>
    </row>
    <row r="7" ht="24" customFormat="1" customHeight="1" s="248">
      <c r="A7" s="263" t="n"/>
      <c r="B7" s="264" t="n"/>
      <c r="C7" s="264" t="n"/>
      <c r="D7" s="263" t="n"/>
      <c r="E7" s="263" t="n"/>
      <c r="F7" s="263" t="n"/>
      <c r="G7" s="263" t="n"/>
      <c r="H7" s="263" t="n"/>
      <c r="I7" s="263" t="n"/>
      <c r="J7" s="264" t="n"/>
      <c r="K7" s="264" t="n"/>
      <c r="L7" s="264" t="n"/>
    </row>
    <row r="8" ht="15" customFormat="1" customHeight="1" s="248">
      <c r="A8" s="720" t="inlineStr">
        <is>
          <t>BOX, CRATE, SS, AND BOWL MATERIAL</t>
        </is>
      </c>
      <c r="B8" s="856" t="n"/>
      <c r="C8" s="856" t="n"/>
      <c r="D8" s="856" t="n"/>
      <c r="E8" s="856" t="n"/>
      <c r="F8" s="921" t="inlineStr">
        <is>
          <t>RAILCAR MATERIAL</t>
        </is>
      </c>
      <c r="G8" s="856" t="n"/>
      <c r="H8" s="856" t="n"/>
      <c r="I8" s="856" t="n"/>
      <c r="J8" s="856" t="n"/>
      <c r="K8" s="856" t="n"/>
      <c r="L8" s="857" t="n"/>
    </row>
    <row r="9" ht="15" customFormat="1" customHeight="1" s="248">
      <c r="A9" s="922" t="inlineStr">
        <is>
          <t xml:space="preserve">Throughout job, from beginning to end; record Team, Date, R #  for every Receiver of material loaded. Load material in FIFO order. When consuming multiple packages of the same receiver, only one entry is required per shift.  For Blends record every bowl number loaded. No 2nd check is necessary. </t>
        </is>
      </c>
      <c r="B9" s="437" t="n"/>
      <c r="C9" s="437" t="n"/>
      <c r="D9" s="437" t="n"/>
      <c r="E9" s="859" t="n"/>
      <c r="F9" s="923" t="inlineStr">
        <is>
          <t>When using material out of a railcar, use the Event Log to track the railcar usage. Record all other material usage on this form.</t>
        </is>
      </c>
      <c r="G9" s="437" t="n"/>
      <c r="H9" s="437" t="n"/>
      <c r="I9" s="437" t="n"/>
      <c r="J9" s="437" t="n"/>
      <c r="K9" s="437" t="n"/>
      <c r="L9" s="859" t="n"/>
    </row>
    <row r="10" ht="15" customFormat="1" customHeight="1" s="248">
      <c r="A10" s="854" t="n"/>
      <c r="E10" s="528" t="n"/>
      <c r="F10" s="474" t="n"/>
      <c r="G10" s="441" t="n"/>
      <c r="H10" s="441" t="n"/>
      <c r="I10" s="441" t="n"/>
      <c r="J10" s="441" t="n"/>
      <c r="K10" s="441" t="n"/>
      <c r="L10" s="442" t="n"/>
    </row>
    <row r="11" ht="15" customFormat="1" customHeight="1" s="248">
      <c r="A11" s="474" t="n"/>
      <c r="B11" s="441" t="n"/>
      <c r="C11" s="441" t="n"/>
      <c r="D11" s="441" t="n"/>
      <c r="E11" s="442" t="n"/>
      <c r="F11" s="923" t="inlineStr">
        <is>
          <t>At start of job; record  Car #, Comp, and R #. On the Event Log  .  The 2nd check will be completed on the Changeover Checklist.</t>
        </is>
      </c>
      <c r="G11" s="437" t="n"/>
      <c r="H11" s="437" t="n"/>
      <c r="I11" s="437" t="n"/>
      <c r="J11" s="437" t="n"/>
      <c r="K11" s="437" t="n"/>
      <c r="L11" s="859" t="n"/>
    </row>
    <row r="12" ht="15" customFormat="1" customHeight="1" s="248">
      <c r="A12" s="924" t="inlineStr">
        <is>
          <t>MISCELLANEOUS</t>
        </is>
      </c>
      <c r="B12" s="856" t="n"/>
      <c r="C12" s="856" t="n"/>
      <c r="D12" s="856" t="n"/>
      <c r="E12" s="857" t="n"/>
      <c r="F12" s="474" t="n"/>
      <c r="G12" s="441" t="n"/>
      <c r="H12" s="441" t="n"/>
      <c r="I12" s="441" t="n"/>
      <c r="J12" s="441" t="n"/>
      <c r="K12" s="441" t="n"/>
      <c r="L12" s="442" t="n"/>
    </row>
    <row r="13" ht="15" customFormat="1" customHeight="1" s="248">
      <c r="A13" s="925" t="inlineStr">
        <is>
          <t>Contact Supervision if another Feeder Log is needed!</t>
        </is>
      </c>
      <c r="B13" s="437" t="n"/>
      <c r="C13" s="437" t="n"/>
      <c r="D13" s="437" t="n"/>
      <c r="E13" s="859" t="n"/>
      <c r="F13" s="923" t="inlineStr">
        <is>
          <t>During the job; at the start of each shift, double-check that the correct railcar is being used. Ensure that the correct information of Car #, Comp and R # is recorded on the Event Log.  This must be completed within the first 60 minutes of taking the floor.</t>
        </is>
      </c>
      <c r="G13" s="437" t="n"/>
      <c r="H13" s="437" t="n"/>
      <c r="I13" s="437" t="n"/>
      <c r="J13" s="437" t="n"/>
      <c r="K13" s="437" t="n"/>
      <c r="L13" s="859" t="n"/>
    </row>
    <row r="14" ht="15" customFormat="1" customHeight="1" s="248">
      <c r="A14" s="474" t="n"/>
      <c r="B14" s="441" t="n"/>
      <c r="C14" s="441" t="n"/>
      <c r="D14" s="441" t="n"/>
      <c r="E14" s="442" t="n"/>
      <c r="F14" s="854" t="n"/>
      <c r="L14" s="528" t="n"/>
    </row>
    <row r="15" ht="15" customFormat="1" customHeight="1" s="248">
      <c r="A15" s="926" t="inlineStr">
        <is>
          <t xml:space="preserve">Remember                                                                           That all Mezzanine material loaded                                              must match each individual feeder log                                             Feeder # 8,                                                                        Notify labs (QC and Color) when changing out blends during a production run </t>
        </is>
      </c>
      <c r="B15" s="437" t="n"/>
      <c r="C15" s="437" t="n"/>
      <c r="D15" s="437" t="n"/>
      <c r="E15" s="859" t="n"/>
      <c r="F15" s="474" t="n"/>
      <c r="G15" s="441" t="n"/>
      <c r="H15" s="441" t="n"/>
      <c r="I15" s="441" t="n"/>
      <c r="J15" s="441" t="n"/>
      <c r="K15" s="441" t="n"/>
      <c r="L15" s="442" t="n"/>
    </row>
    <row r="16" ht="15" customFormat="1" customHeight="1" s="248">
      <c r="A16" s="854" t="n"/>
      <c r="E16" s="528" t="n"/>
      <c r="F16" s="927" t="inlineStr">
        <is>
          <t>During the job; after switching a compartment or railcar, record Car #, Comp.,R #, totalizer value for that feeder and time of the new compartment or railcar on the Event Log.  Have another employee double-check that the switch is correct.  That employee is to initial in the Double Check column.  This must be completed within 60 minutes of the switch.</t>
        </is>
      </c>
      <c r="G16" s="437" t="n"/>
      <c r="H16" s="437" t="n"/>
      <c r="I16" s="437" t="n"/>
      <c r="J16" s="437" t="n"/>
      <c r="K16" s="437" t="n"/>
      <c r="L16" s="859" t="n"/>
    </row>
    <row r="17" ht="15" customFormat="1" customHeight="1" s="248">
      <c r="A17" s="854" t="n"/>
      <c r="E17" s="528" t="n"/>
      <c r="F17" s="854" t="n"/>
      <c r="L17" s="528" t="n"/>
    </row>
    <row r="18" ht="27.75" customFormat="1" customHeight="1" s="248">
      <c r="A18" s="474" t="n"/>
      <c r="B18" s="441" t="n"/>
      <c r="C18" s="441" t="n"/>
      <c r="D18" s="441" t="n"/>
      <c r="E18" s="442" t="n"/>
      <c r="F18" s="854" t="n"/>
      <c r="L18" s="528" t="n"/>
    </row>
    <row r="19" ht="30" customFormat="1" customHeight="1" s="248">
      <c r="A19" s="265" t="inlineStr">
        <is>
          <t>Staged Receiver Numbers for the Job</t>
        </is>
      </c>
      <c r="B19" s="266" t="n"/>
      <c r="C19" s="266" t="n"/>
      <c r="D19" s="266" t="n"/>
      <c r="E19" s="267" t="n"/>
      <c r="F19" s="267" t="n"/>
      <c r="G19" s="585" t="inlineStr">
        <is>
          <t>Type:     Box/Crate          R/C            Blend        Supersack</t>
        </is>
      </c>
      <c r="H19" s="267" t="n"/>
      <c r="I19" s="267" t="n"/>
      <c r="J19" s="267" t="n"/>
      <c r="K19" s="267" t="n"/>
      <c r="L19" s="586" t="n"/>
    </row>
    <row r="20">
      <c r="A20" s="928" t="n"/>
      <c r="B20" s="859" t="n"/>
      <c r="C20" s="928" t="n"/>
      <c r="D20" s="859" t="n"/>
      <c r="E20" s="929" t="n"/>
      <c r="F20" s="437" t="n"/>
      <c r="G20" s="930" t="n"/>
      <c r="H20" s="528" t="n"/>
      <c r="I20" s="931" t="n"/>
      <c r="J20" s="528" t="n"/>
      <c r="K20" s="931" t="n"/>
      <c r="L20" s="528" t="n"/>
    </row>
    <row r="21">
      <c r="A21" s="474" t="n"/>
      <c r="B21" s="442" t="n"/>
      <c r="C21" s="474" t="n"/>
      <c r="D21" s="442" t="n"/>
      <c r="E21" s="474" t="n"/>
      <c r="F21" s="441" t="n"/>
      <c r="G21" s="932" t="n"/>
      <c r="H21" s="442" t="n"/>
      <c r="I21" s="474" t="n"/>
      <c r="J21" s="442" t="n"/>
      <c r="K21" s="474" t="n"/>
      <c r="L21" s="442" t="n"/>
    </row>
    <row r="22" ht="0.75" customHeight="1">
      <c r="A22" s="928" t="inlineStr">
        <is>
          <t xml:space="preserve"> </t>
        </is>
      </c>
      <c r="B22" s="859" t="n"/>
      <c r="C22" s="928" t="inlineStr">
        <is>
          <t xml:space="preserve"> </t>
        </is>
      </c>
      <c r="D22" s="859" t="n"/>
      <c r="E22" s="929" t="inlineStr">
        <is>
          <t xml:space="preserve"> </t>
        </is>
      </c>
      <c r="F22" s="437" t="n"/>
      <c r="G22" s="933" t="inlineStr">
        <is>
          <t xml:space="preserve"> </t>
        </is>
      </c>
      <c r="H22" s="859" t="n"/>
      <c r="I22" s="928" t="inlineStr">
        <is>
          <t xml:space="preserve"> </t>
        </is>
      </c>
      <c r="J22" s="859" t="n"/>
      <c r="K22" s="928" t="inlineStr">
        <is>
          <t xml:space="preserve"> </t>
        </is>
      </c>
      <c r="L22" s="859" t="n"/>
    </row>
    <row r="23" hidden="1">
      <c r="A23" s="474" t="n"/>
      <c r="B23" s="442" t="n"/>
      <c r="C23" s="474" t="n"/>
      <c r="D23" s="442" t="n"/>
      <c r="E23" s="474" t="n"/>
      <c r="F23" s="441" t="n"/>
      <c r="G23" s="932" t="n"/>
      <c r="H23" s="442" t="n"/>
      <c r="I23" s="474" t="n"/>
      <c r="J23" s="442" t="n"/>
      <c r="K23" s="474" t="n"/>
      <c r="L23" s="442" t="n"/>
    </row>
    <row r="24" ht="12.75" customHeight="1">
      <c r="A24" s="934" t="inlineStr">
        <is>
          <t>Team / Date</t>
        </is>
      </c>
      <c r="B24" s="859" t="n"/>
      <c r="C24" s="935" t="inlineStr">
        <is>
          <t>Time/initials</t>
        </is>
      </c>
      <c r="D24" s="859" t="n"/>
      <c r="E24" s="936" t="inlineStr">
        <is>
          <t>R# / Bowl #</t>
        </is>
      </c>
      <c r="F24" s="859" t="n"/>
      <c r="G24" s="934" t="inlineStr">
        <is>
          <t>Team / Date</t>
        </is>
      </c>
      <c r="H24" s="859" t="n"/>
      <c r="I24" s="935" t="inlineStr">
        <is>
          <t>Time/initials</t>
        </is>
      </c>
      <c r="J24" s="859" t="n"/>
      <c r="K24" s="936" t="inlineStr">
        <is>
          <t>R# / Bowl #</t>
        </is>
      </c>
      <c r="L24" s="859" t="n"/>
    </row>
    <row r="25" ht="12.75" customHeight="1">
      <c r="A25" s="932" t="n"/>
      <c r="B25" s="442" t="n"/>
      <c r="C25" s="474" t="n"/>
      <c r="D25" s="442" t="n"/>
      <c r="E25" s="474" t="n"/>
      <c r="F25" s="442" t="n"/>
      <c r="G25" s="932" t="n"/>
      <c r="H25" s="442" t="n"/>
      <c r="I25" s="474" t="n"/>
      <c r="J25" s="442" t="n"/>
      <c r="K25" s="474" t="n"/>
      <c r="L25" s="442" t="n"/>
    </row>
    <row r="26">
      <c r="A26" s="928" t="inlineStr">
        <is>
          <t xml:space="preserve"> </t>
        </is>
      </c>
      <c r="B26" s="859" t="n"/>
      <c r="C26" s="928" t="inlineStr">
        <is>
          <t xml:space="preserve"> </t>
        </is>
      </c>
      <c r="D26" s="859" t="n"/>
      <c r="E26" s="929" t="inlineStr">
        <is>
          <t xml:space="preserve"> </t>
        </is>
      </c>
      <c r="F26" s="437" t="n"/>
      <c r="G26" s="933" t="inlineStr">
        <is>
          <t xml:space="preserve"> </t>
        </is>
      </c>
      <c r="H26" s="859" t="n"/>
      <c r="I26" s="928" t="inlineStr">
        <is>
          <t xml:space="preserve"> </t>
        </is>
      </c>
      <c r="J26" s="859" t="n"/>
      <c r="K26" s="928" t="inlineStr">
        <is>
          <t xml:space="preserve"> </t>
        </is>
      </c>
      <c r="L26" s="859" t="n"/>
    </row>
    <row r="27">
      <c r="A27" s="474" t="n"/>
      <c r="B27" s="442" t="n"/>
      <c r="C27" s="474" t="n"/>
      <c r="D27" s="442" t="n"/>
      <c r="E27" s="474" t="n"/>
      <c r="F27" s="441" t="n"/>
      <c r="G27" s="932" t="n"/>
      <c r="H27" s="442" t="n"/>
      <c r="I27" s="474" t="n"/>
      <c r="J27" s="442" t="n"/>
      <c r="K27" s="474" t="n"/>
      <c r="L27" s="442" t="n"/>
    </row>
    <row r="28">
      <c r="A28" s="928" t="inlineStr">
        <is>
          <t xml:space="preserve"> </t>
        </is>
      </c>
      <c r="B28" s="859" t="n"/>
      <c r="C28" s="928" t="inlineStr">
        <is>
          <t xml:space="preserve"> </t>
        </is>
      </c>
      <c r="D28" s="859" t="n"/>
      <c r="E28" s="929" t="inlineStr">
        <is>
          <t xml:space="preserve"> </t>
        </is>
      </c>
      <c r="F28" s="437" t="n"/>
      <c r="G28" s="933" t="inlineStr">
        <is>
          <t xml:space="preserve"> </t>
        </is>
      </c>
      <c r="H28" s="859" t="n"/>
      <c r="I28" s="928" t="inlineStr">
        <is>
          <t xml:space="preserve"> </t>
        </is>
      </c>
      <c r="J28" s="859" t="n"/>
      <c r="K28" s="928" t="inlineStr">
        <is>
          <t xml:space="preserve"> </t>
        </is>
      </c>
      <c r="L28" s="859" t="n"/>
    </row>
    <row r="29">
      <c r="A29" s="474" t="n"/>
      <c r="B29" s="442" t="n"/>
      <c r="C29" s="474" t="n"/>
      <c r="D29" s="442" t="n"/>
      <c r="E29" s="474" t="n"/>
      <c r="F29" s="441" t="n"/>
      <c r="G29" s="932" t="n"/>
      <c r="H29" s="442" t="n"/>
      <c r="I29" s="474" t="n"/>
      <c r="J29" s="442" t="n"/>
      <c r="K29" s="474" t="n"/>
      <c r="L29" s="442" t="n"/>
    </row>
    <row r="30">
      <c r="A30" s="928" t="inlineStr">
        <is>
          <t xml:space="preserve"> </t>
        </is>
      </c>
      <c r="B30" s="859" t="n"/>
      <c r="C30" s="928" t="inlineStr">
        <is>
          <t xml:space="preserve"> </t>
        </is>
      </c>
      <c r="D30" s="859" t="n"/>
      <c r="E30" s="929" t="inlineStr">
        <is>
          <t xml:space="preserve"> </t>
        </is>
      </c>
      <c r="F30" s="437" t="n"/>
      <c r="G30" s="933" t="inlineStr">
        <is>
          <t xml:space="preserve"> </t>
        </is>
      </c>
      <c r="H30" s="859" t="n"/>
      <c r="I30" s="928" t="inlineStr">
        <is>
          <t xml:space="preserve"> </t>
        </is>
      </c>
      <c r="J30" s="859" t="n"/>
      <c r="K30" s="928" t="inlineStr">
        <is>
          <t xml:space="preserve"> </t>
        </is>
      </c>
      <c r="L30" s="859" t="n"/>
    </row>
    <row r="31">
      <c r="A31" s="474" t="n"/>
      <c r="B31" s="442" t="n"/>
      <c r="C31" s="474" t="n"/>
      <c r="D31" s="442" t="n"/>
      <c r="E31" s="474" t="n"/>
      <c r="F31" s="441" t="n"/>
      <c r="G31" s="932" t="n"/>
      <c r="H31" s="442" t="n"/>
      <c r="I31" s="474" t="n"/>
      <c r="J31" s="442" t="n"/>
      <c r="K31" s="474" t="n"/>
      <c r="L31" s="442" t="n"/>
    </row>
    <row r="32">
      <c r="A32" s="928" t="inlineStr">
        <is>
          <t xml:space="preserve"> </t>
        </is>
      </c>
      <c r="B32" s="859" t="n"/>
      <c r="C32" s="928" t="inlineStr">
        <is>
          <t xml:space="preserve"> </t>
        </is>
      </c>
      <c r="D32" s="859" t="n"/>
      <c r="E32" s="929" t="inlineStr">
        <is>
          <t xml:space="preserve"> </t>
        </is>
      </c>
      <c r="F32" s="437" t="n"/>
      <c r="G32" s="933" t="inlineStr">
        <is>
          <t xml:space="preserve"> </t>
        </is>
      </c>
      <c r="H32" s="859" t="n"/>
      <c r="I32" s="928" t="inlineStr">
        <is>
          <t xml:space="preserve"> </t>
        </is>
      </c>
      <c r="J32" s="859" t="n"/>
      <c r="K32" s="928" t="inlineStr">
        <is>
          <t xml:space="preserve"> </t>
        </is>
      </c>
      <c r="L32" s="859" t="n"/>
    </row>
    <row r="33">
      <c r="A33" s="474" t="n"/>
      <c r="B33" s="442" t="n"/>
      <c r="C33" s="474" t="n"/>
      <c r="D33" s="442" t="n"/>
      <c r="E33" s="474" t="n"/>
      <c r="F33" s="441" t="n"/>
      <c r="G33" s="932" t="n"/>
      <c r="H33" s="442" t="n"/>
      <c r="I33" s="474" t="n"/>
      <c r="J33" s="442" t="n"/>
      <c r="K33" s="474" t="n"/>
      <c r="L33" s="442" t="n"/>
    </row>
    <row r="34">
      <c r="A34" s="928" t="inlineStr">
        <is>
          <t xml:space="preserve"> </t>
        </is>
      </c>
      <c r="B34" s="859" t="n"/>
      <c r="C34" s="928" t="inlineStr">
        <is>
          <t xml:space="preserve"> </t>
        </is>
      </c>
      <c r="D34" s="859" t="n"/>
      <c r="E34" s="929" t="inlineStr">
        <is>
          <t xml:space="preserve"> </t>
        </is>
      </c>
      <c r="F34" s="437" t="n"/>
      <c r="G34" s="933" t="inlineStr">
        <is>
          <t xml:space="preserve"> </t>
        </is>
      </c>
      <c r="H34" s="859" t="n"/>
      <c r="I34" s="928" t="inlineStr">
        <is>
          <t xml:space="preserve"> </t>
        </is>
      </c>
      <c r="J34" s="859" t="n"/>
      <c r="K34" s="928" t="inlineStr">
        <is>
          <t xml:space="preserve"> </t>
        </is>
      </c>
      <c r="L34" s="859" t="n"/>
    </row>
    <row r="35">
      <c r="A35" s="474" t="n"/>
      <c r="B35" s="442" t="n"/>
      <c r="C35" s="474" t="n"/>
      <c r="D35" s="442" t="n"/>
      <c r="E35" s="474" t="n"/>
      <c r="F35" s="441" t="n"/>
      <c r="G35" s="932" t="n"/>
      <c r="H35" s="442" t="n"/>
      <c r="I35" s="474" t="n"/>
      <c r="J35" s="442" t="n"/>
      <c r="K35" s="474" t="n"/>
      <c r="L35" s="442" t="n"/>
    </row>
    <row r="36">
      <c r="A36" s="928" t="inlineStr">
        <is>
          <t xml:space="preserve"> </t>
        </is>
      </c>
      <c r="B36" s="859" t="n"/>
      <c r="C36" s="928" t="inlineStr">
        <is>
          <t xml:space="preserve"> </t>
        </is>
      </c>
      <c r="D36" s="859" t="n"/>
      <c r="E36" s="929" t="inlineStr">
        <is>
          <t xml:space="preserve"> </t>
        </is>
      </c>
      <c r="F36" s="437" t="n"/>
      <c r="G36" s="933" t="inlineStr">
        <is>
          <t xml:space="preserve"> </t>
        </is>
      </c>
      <c r="H36" s="859" t="n"/>
      <c r="I36" s="928" t="inlineStr">
        <is>
          <t xml:space="preserve"> </t>
        </is>
      </c>
      <c r="J36" s="859" t="n"/>
      <c r="K36" s="928" t="inlineStr">
        <is>
          <t xml:space="preserve"> </t>
        </is>
      </c>
      <c r="L36" s="859" t="n"/>
    </row>
    <row r="37">
      <c r="A37" s="474" t="n"/>
      <c r="B37" s="442" t="n"/>
      <c r="C37" s="474" t="n"/>
      <c r="D37" s="442" t="n"/>
      <c r="E37" s="474" t="n"/>
      <c r="F37" s="441" t="n"/>
      <c r="G37" s="932" t="n"/>
      <c r="H37" s="442" t="n"/>
      <c r="I37" s="474" t="n"/>
      <c r="J37" s="442" t="n"/>
      <c r="K37" s="474" t="n"/>
      <c r="L37" s="442" t="n"/>
    </row>
    <row r="38">
      <c r="A38" s="928" t="inlineStr">
        <is>
          <t xml:space="preserve"> </t>
        </is>
      </c>
      <c r="B38" s="859" t="n"/>
      <c r="C38" s="928" t="inlineStr">
        <is>
          <t xml:space="preserve"> </t>
        </is>
      </c>
      <c r="D38" s="859" t="n"/>
      <c r="E38" s="929" t="inlineStr">
        <is>
          <t xml:space="preserve"> </t>
        </is>
      </c>
      <c r="F38" s="437" t="n"/>
      <c r="G38" s="933" t="inlineStr">
        <is>
          <t xml:space="preserve"> </t>
        </is>
      </c>
      <c r="H38" s="859" t="n"/>
      <c r="I38" s="928" t="inlineStr">
        <is>
          <t xml:space="preserve"> </t>
        </is>
      </c>
      <c r="J38" s="859" t="n"/>
      <c r="K38" s="928" t="inlineStr">
        <is>
          <t xml:space="preserve"> </t>
        </is>
      </c>
      <c r="L38" s="859" t="n"/>
    </row>
    <row r="39">
      <c r="A39" s="474" t="n"/>
      <c r="B39" s="442" t="n"/>
      <c r="C39" s="474" t="n"/>
      <c r="D39" s="442" t="n"/>
      <c r="E39" s="474" t="n"/>
      <c r="F39" s="441" t="n"/>
      <c r="G39" s="932" t="n"/>
      <c r="H39" s="442" t="n"/>
      <c r="I39" s="474" t="n"/>
      <c r="J39" s="442" t="n"/>
      <c r="K39" s="474" t="n"/>
      <c r="L39" s="442" t="n"/>
    </row>
    <row r="40">
      <c r="A40" s="928" t="inlineStr">
        <is>
          <t xml:space="preserve"> </t>
        </is>
      </c>
      <c r="B40" s="859" t="n"/>
      <c r="C40" s="928" t="inlineStr">
        <is>
          <t xml:space="preserve"> </t>
        </is>
      </c>
      <c r="D40" s="859" t="n"/>
      <c r="E40" s="929" t="inlineStr">
        <is>
          <t xml:space="preserve"> </t>
        </is>
      </c>
      <c r="F40" s="437" t="n"/>
      <c r="G40" s="933" t="inlineStr">
        <is>
          <t xml:space="preserve"> </t>
        </is>
      </c>
      <c r="H40" s="859" t="n"/>
      <c r="I40" s="928" t="inlineStr">
        <is>
          <t xml:space="preserve"> </t>
        </is>
      </c>
      <c r="J40" s="859" t="n"/>
      <c r="K40" s="928" t="inlineStr">
        <is>
          <t xml:space="preserve"> </t>
        </is>
      </c>
      <c r="L40" s="859" t="n"/>
    </row>
    <row r="41">
      <c r="A41" s="474" t="n"/>
      <c r="B41" s="442" t="n"/>
      <c r="C41" s="474" t="n"/>
      <c r="D41" s="442" t="n"/>
      <c r="E41" s="474" t="n"/>
      <c r="F41" s="441" t="n"/>
      <c r="G41" s="932" t="n"/>
      <c r="H41" s="442" t="n"/>
      <c r="I41" s="474" t="n"/>
      <c r="J41" s="442" t="n"/>
      <c r="K41" s="474" t="n"/>
      <c r="L41" s="442" t="n"/>
    </row>
    <row r="42">
      <c r="A42" s="928" t="inlineStr">
        <is>
          <t xml:space="preserve"> </t>
        </is>
      </c>
      <c r="B42" s="859" t="n"/>
      <c r="C42" s="928" t="inlineStr">
        <is>
          <t xml:space="preserve"> </t>
        </is>
      </c>
      <c r="D42" s="859" t="n"/>
      <c r="E42" s="929" t="inlineStr">
        <is>
          <t xml:space="preserve"> </t>
        </is>
      </c>
      <c r="F42" s="437" t="n"/>
      <c r="G42" s="933" t="inlineStr">
        <is>
          <t xml:space="preserve"> </t>
        </is>
      </c>
      <c r="H42" s="859" t="n"/>
      <c r="I42" s="928" t="inlineStr">
        <is>
          <t xml:space="preserve"> </t>
        </is>
      </c>
      <c r="J42" s="859" t="n"/>
      <c r="K42" s="928" t="inlineStr">
        <is>
          <t xml:space="preserve"> </t>
        </is>
      </c>
      <c r="L42" s="859" t="n"/>
    </row>
    <row r="43">
      <c r="A43" s="474" t="n"/>
      <c r="B43" s="442" t="n"/>
      <c r="C43" s="474" t="n"/>
      <c r="D43" s="442" t="n"/>
      <c r="E43" s="474" t="n"/>
      <c r="F43" s="441" t="n"/>
      <c r="G43" s="932" t="n"/>
      <c r="H43" s="442" t="n"/>
      <c r="I43" s="474" t="n"/>
      <c r="J43" s="442" t="n"/>
      <c r="K43" s="474" t="n"/>
      <c r="L43" s="442" t="n"/>
    </row>
    <row r="44">
      <c r="A44" s="928" t="inlineStr">
        <is>
          <t xml:space="preserve"> </t>
        </is>
      </c>
      <c r="B44" s="859" t="n"/>
      <c r="C44" s="928" t="inlineStr">
        <is>
          <t xml:space="preserve"> </t>
        </is>
      </c>
      <c r="D44" s="859" t="n"/>
      <c r="E44" s="929" t="inlineStr">
        <is>
          <t xml:space="preserve"> </t>
        </is>
      </c>
      <c r="F44" s="437" t="n"/>
      <c r="G44" s="933" t="inlineStr">
        <is>
          <t xml:space="preserve"> </t>
        </is>
      </c>
      <c r="H44" s="859" t="n"/>
      <c r="I44" s="928" t="inlineStr">
        <is>
          <t xml:space="preserve"> </t>
        </is>
      </c>
      <c r="J44" s="859" t="n"/>
      <c r="K44" s="928" t="inlineStr">
        <is>
          <t xml:space="preserve"> </t>
        </is>
      </c>
      <c r="L44" s="859" t="n"/>
    </row>
    <row r="45">
      <c r="A45" s="474" t="n"/>
      <c r="B45" s="442" t="n"/>
      <c r="C45" s="474" t="n"/>
      <c r="D45" s="442" t="n"/>
      <c r="E45" s="474" t="n"/>
      <c r="F45" s="441" t="n"/>
      <c r="G45" s="932" t="n"/>
      <c r="H45" s="442" t="n"/>
      <c r="I45" s="474" t="n"/>
      <c r="J45" s="442" t="n"/>
      <c r="K45" s="474" t="n"/>
      <c r="L45" s="442" t="n"/>
    </row>
    <row r="46">
      <c r="A46" s="928" t="inlineStr">
        <is>
          <t xml:space="preserve"> </t>
        </is>
      </c>
      <c r="B46" s="859" t="n"/>
      <c r="C46" s="928" t="inlineStr">
        <is>
          <t xml:space="preserve"> </t>
        </is>
      </c>
      <c r="D46" s="859" t="n"/>
      <c r="E46" s="929" t="inlineStr">
        <is>
          <t xml:space="preserve"> </t>
        </is>
      </c>
      <c r="F46" s="437" t="n"/>
      <c r="G46" s="933" t="inlineStr">
        <is>
          <t xml:space="preserve"> </t>
        </is>
      </c>
      <c r="H46" s="859" t="n"/>
      <c r="I46" s="928" t="inlineStr">
        <is>
          <t xml:space="preserve"> </t>
        </is>
      </c>
      <c r="J46" s="859" t="n"/>
      <c r="K46" s="928" t="inlineStr">
        <is>
          <t xml:space="preserve"> </t>
        </is>
      </c>
      <c r="L46" s="859" t="n"/>
    </row>
    <row r="47">
      <c r="A47" s="474" t="n"/>
      <c r="B47" s="442" t="n"/>
      <c r="C47" s="474" t="n"/>
      <c r="D47" s="442" t="n"/>
      <c r="E47" s="474" t="n"/>
      <c r="F47" s="441" t="n"/>
      <c r="G47" s="932" t="n"/>
      <c r="H47" s="442" t="n"/>
      <c r="I47" s="474" t="n"/>
      <c r="J47" s="442" t="n"/>
      <c r="K47" s="474" t="n"/>
      <c r="L47" s="442" t="n"/>
    </row>
    <row r="48">
      <c r="A48" s="928" t="inlineStr">
        <is>
          <t xml:space="preserve"> </t>
        </is>
      </c>
      <c r="B48" s="859" t="n"/>
      <c r="C48" s="928" t="inlineStr">
        <is>
          <t xml:space="preserve"> </t>
        </is>
      </c>
      <c r="D48" s="859" t="n"/>
      <c r="E48" s="929" t="inlineStr">
        <is>
          <t xml:space="preserve"> </t>
        </is>
      </c>
      <c r="F48" s="437" t="n"/>
      <c r="G48" s="933" t="inlineStr">
        <is>
          <t xml:space="preserve"> </t>
        </is>
      </c>
      <c r="H48" s="859" t="n"/>
      <c r="I48" s="928" t="inlineStr">
        <is>
          <t xml:space="preserve"> </t>
        </is>
      </c>
      <c r="J48" s="859" t="n"/>
      <c r="K48" s="928" t="inlineStr">
        <is>
          <t xml:space="preserve"> </t>
        </is>
      </c>
      <c r="L48" s="859" t="n"/>
    </row>
    <row r="49">
      <c r="A49" s="474" t="n"/>
      <c r="B49" s="442" t="n"/>
      <c r="C49" s="474" t="n"/>
      <c r="D49" s="442" t="n"/>
      <c r="E49" s="474" t="n"/>
      <c r="F49" s="441" t="n"/>
      <c r="G49" s="932" t="n"/>
      <c r="H49" s="442" t="n"/>
      <c r="I49" s="474" t="n"/>
      <c r="J49" s="442" t="n"/>
      <c r="K49" s="474" t="n"/>
      <c r="L49" s="442" t="n"/>
    </row>
    <row r="50">
      <c r="A50" s="928" t="inlineStr">
        <is>
          <t xml:space="preserve"> </t>
        </is>
      </c>
      <c r="B50" s="859" t="n"/>
      <c r="C50" s="928" t="inlineStr">
        <is>
          <t xml:space="preserve"> </t>
        </is>
      </c>
      <c r="D50" s="859" t="n"/>
      <c r="E50" s="929" t="inlineStr">
        <is>
          <t xml:space="preserve"> </t>
        </is>
      </c>
      <c r="F50" s="437" t="n"/>
      <c r="G50" s="933" t="inlineStr">
        <is>
          <t xml:space="preserve"> </t>
        </is>
      </c>
      <c r="H50" s="859" t="n"/>
      <c r="I50" s="928" t="inlineStr">
        <is>
          <t xml:space="preserve"> </t>
        </is>
      </c>
      <c r="J50" s="859" t="n"/>
      <c r="K50" s="928" t="inlineStr">
        <is>
          <t xml:space="preserve"> </t>
        </is>
      </c>
      <c r="L50" s="859" t="n"/>
    </row>
    <row r="51">
      <c r="A51" s="474" t="n"/>
      <c r="B51" s="442" t="n"/>
      <c r="C51" s="474" t="n"/>
      <c r="D51" s="442" t="n"/>
      <c r="E51" s="474" t="n"/>
      <c r="F51" s="441" t="n"/>
      <c r="G51" s="932" t="n"/>
      <c r="H51" s="442" t="n"/>
      <c r="I51" s="474" t="n"/>
      <c r="J51" s="442" t="n"/>
      <c r="K51" s="474" t="n"/>
      <c r="L51" s="442" t="n"/>
    </row>
    <row r="52">
      <c r="A52" s="928" t="inlineStr">
        <is>
          <t xml:space="preserve"> </t>
        </is>
      </c>
      <c r="B52" s="859" t="n"/>
      <c r="C52" s="928" t="inlineStr">
        <is>
          <t xml:space="preserve"> </t>
        </is>
      </c>
      <c r="D52" s="859" t="n"/>
      <c r="E52" s="929" t="inlineStr">
        <is>
          <t xml:space="preserve"> </t>
        </is>
      </c>
      <c r="F52" s="437" t="n"/>
      <c r="G52" s="933" t="inlineStr">
        <is>
          <t xml:space="preserve"> </t>
        </is>
      </c>
      <c r="H52" s="859" t="n"/>
      <c r="I52" s="928" t="inlineStr">
        <is>
          <t xml:space="preserve"> </t>
        </is>
      </c>
      <c r="J52" s="859" t="n"/>
      <c r="K52" s="928" t="inlineStr">
        <is>
          <t xml:space="preserve"> </t>
        </is>
      </c>
      <c r="L52" s="859" t="n"/>
    </row>
    <row r="53">
      <c r="A53" s="474" t="n"/>
      <c r="B53" s="442" t="n"/>
      <c r="C53" s="474" t="n"/>
      <c r="D53" s="442" t="n"/>
      <c r="E53" s="474" t="n"/>
      <c r="F53" s="441" t="n"/>
      <c r="G53" s="932" t="n"/>
      <c r="H53" s="442" t="n"/>
      <c r="I53" s="474" t="n"/>
      <c r="J53" s="442" t="n"/>
      <c r="K53" s="474" t="n"/>
      <c r="L53" s="442" t="n"/>
    </row>
  </sheetData>
  <sheetProtection selectLockedCells="0" selectUnlockedCells="0" sheet="1" objects="1" insertRows="1" insertHyperlinks="1" autoFilter="1" scenarios="1" formatColumns="1" deleteColumns="1" insertColumns="1" pivotTables="1" deleteRows="1" formatCells="1" formatRows="1" sort="1"/>
  <mergeCells count="128">
    <mergeCell ref="A52:B53"/>
    <mergeCell ref="C52:D53"/>
    <mergeCell ref="E52:F53"/>
    <mergeCell ref="G52:H53"/>
    <mergeCell ref="I52:J53"/>
    <mergeCell ref="K52:L53"/>
    <mergeCell ref="A50:B51"/>
    <mergeCell ref="C50:D51"/>
    <mergeCell ref="E50:F51"/>
    <mergeCell ref="G50:H51"/>
    <mergeCell ref="I50:J51"/>
    <mergeCell ref="K50:L51"/>
    <mergeCell ref="A48:B49"/>
    <mergeCell ref="C48:D49"/>
    <mergeCell ref="E48:F49"/>
    <mergeCell ref="G48:H49"/>
    <mergeCell ref="I48:J49"/>
    <mergeCell ref="K48:L49"/>
    <mergeCell ref="A46:B47"/>
    <mergeCell ref="C46:D47"/>
    <mergeCell ref="E46:F47"/>
    <mergeCell ref="G46:H47"/>
    <mergeCell ref="I46:J47"/>
    <mergeCell ref="K46:L47"/>
    <mergeCell ref="A44:B45"/>
    <mergeCell ref="C44:D45"/>
    <mergeCell ref="E44:F45"/>
    <mergeCell ref="G44:H45"/>
    <mergeCell ref="I44:J45"/>
    <mergeCell ref="K44:L45"/>
    <mergeCell ref="A42:B43"/>
    <mergeCell ref="C42:D43"/>
    <mergeCell ref="E42:F43"/>
    <mergeCell ref="G42:H43"/>
    <mergeCell ref="I42:J43"/>
    <mergeCell ref="K42:L43"/>
    <mergeCell ref="A40:B41"/>
    <mergeCell ref="C40:D41"/>
    <mergeCell ref="E40:F41"/>
    <mergeCell ref="G40:H41"/>
    <mergeCell ref="I40:J41"/>
    <mergeCell ref="K40:L41"/>
    <mergeCell ref="A38:B39"/>
    <mergeCell ref="C38:D39"/>
    <mergeCell ref="E38:F39"/>
    <mergeCell ref="G38:H39"/>
    <mergeCell ref="I38:J39"/>
    <mergeCell ref="K38:L39"/>
    <mergeCell ref="A36:B37"/>
    <mergeCell ref="C36:D37"/>
    <mergeCell ref="E36:F37"/>
    <mergeCell ref="G36:H37"/>
    <mergeCell ref="I36:J37"/>
    <mergeCell ref="K36:L37"/>
    <mergeCell ref="A34:B35"/>
    <mergeCell ref="C34:D35"/>
    <mergeCell ref="E34:F35"/>
    <mergeCell ref="G34:H35"/>
    <mergeCell ref="I34:J35"/>
    <mergeCell ref="K34:L35"/>
    <mergeCell ref="A32:B33"/>
    <mergeCell ref="C32:D33"/>
    <mergeCell ref="E32:F33"/>
    <mergeCell ref="G32:H33"/>
    <mergeCell ref="I32:J33"/>
    <mergeCell ref="K32:L33"/>
    <mergeCell ref="A30:B31"/>
    <mergeCell ref="C30:D31"/>
    <mergeCell ref="E30:F31"/>
    <mergeCell ref="G30:H31"/>
    <mergeCell ref="I30:J31"/>
    <mergeCell ref="K30:L31"/>
    <mergeCell ref="A28:B29"/>
    <mergeCell ref="C28:D29"/>
    <mergeCell ref="E28:F29"/>
    <mergeCell ref="G28:H29"/>
    <mergeCell ref="I28:J29"/>
    <mergeCell ref="K28:L29"/>
    <mergeCell ref="A26:B27"/>
    <mergeCell ref="C26:D27"/>
    <mergeCell ref="E26:F27"/>
    <mergeCell ref="G26:H27"/>
    <mergeCell ref="I26:J27"/>
    <mergeCell ref="K26:L27"/>
    <mergeCell ref="A24:B25"/>
    <mergeCell ref="C24:D25"/>
    <mergeCell ref="E24:F25"/>
    <mergeCell ref="G24:H25"/>
    <mergeCell ref="I24:J25"/>
    <mergeCell ref="K24:L25"/>
    <mergeCell ref="A22:B23"/>
    <mergeCell ref="C22:D23"/>
    <mergeCell ref="E22:F23"/>
    <mergeCell ref="G22:H23"/>
    <mergeCell ref="I22:J23"/>
    <mergeCell ref="K22:L23"/>
    <mergeCell ref="A13:E14"/>
    <mergeCell ref="F13:L15"/>
    <mergeCell ref="A15:E18"/>
    <mergeCell ref="F16:L18"/>
    <mergeCell ref="A20:B21"/>
    <mergeCell ref="C20:D21"/>
    <mergeCell ref="E20:F21"/>
    <mergeCell ref="G20:H21"/>
    <mergeCell ref="I20:J21"/>
    <mergeCell ref="K20:L21"/>
    <mergeCell ref="A9:E11"/>
    <mergeCell ref="F9:L10"/>
    <mergeCell ref="F11:L12"/>
    <mergeCell ref="A12:E12"/>
    <mergeCell ref="A4:B4"/>
    <mergeCell ref="C4:G4"/>
    <mergeCell ref="H4:I4"/>
    <mergeCell ref="J4:L4"/>
    <mergeCell ref="A5:B5"/>
    <mergeCell ref="D5:E5"/>
    <mergeCell ref="F5:G5"/>
    <mergeCell ref="H5:I5"/>
    <mergeCell ref="J5:L5"/>
    <mergeCell ref="A1:A2"/>
    <mergeCell ref="B1:D1"/>
    <mergeCell ref="F1:I1"/>
    <mergeCell ref="J1:L1"/>
    <mergeCell ref="B2:D2"/>
    <mergeCell ref="E2:F2"/>
    <mergeCell ref="G2:L2"/>
    <mergeCell ref="A8:E8"/>
    <mergeCell ref="F8:L8"/>
  </mergeCells>
  <pageMargins left="0.33" right="0" top="0.3" bottom="0.3" header="0.25" footer="0.25"/>
  <pageSetup orientation="portrait" scale="89"/>
  <headerFooter alignWithMargins="0">
    <oddHeader/>
    <oddFooter>&amp;LNETWORK ADDRESS:  MPCI data\Forms\_x000a_Production_ Operation forms&amp;C                           &amp;RRETENTION REQUIREMENT:  Maintained with the _x000a_Job Packet for 3 years</oddFooter>
    <evenHeader/>
    <evenFooter/>
    <firstHeader/>
    <firstFooter/>
  </headerFooter>
</worksheet>
</file>

<file path=xl/worksheets/sheet17.xml><?xml version="1.0" encoding="utf-8"?>
<worksheet xmlns="http://schemas.openxmlformats.org/spreadsheetml/2006/main">
  <sheetPr codeName="Sheet11">
    <outlinePr summaryBelow="1" summaryRight="1"/>
    <pageSetUpPr fitToPage="1"/>
  </sheetPr>
  <dimension ref="A1:Q47"/>
  <sheetViews>
    <sheetView showGridLines="0" zoomScale="85" zoomScaleNormal="85" workbookViewId="0">
      <selection activeCell="B4" sqref="B4"/>
    </sheetView>
  </sheetViews>
  <sheetFormatPr baseColWidth="8" defaultRowHeight="12.5"/>
  <cols>
    <col width="15.81640625" customWidth="1" style="662" min="1" max="1"/>
    <col width="19.453125" customWidth="1" style="662" min="2" max="2"/>
    <col width="22.453125" customWidth="1" style="662" min="3" max="3"/>
    <col width="16.453125" customWidth="1" style="662" min="4" max="4"/>
    <col width="40.26953125" customWidth="1" style="662" min="5" max="5"/>
    <col width="7.453125" customWidth="1" style="662" min="6" max="6"/>
    <col width="20.81640625" customWidth="1" style="662" min="7" max="7"/>
    <col width="9.1796875" customWidth="1" style="662" min="8" max="256"/>
    <col width="15.81640625" customWidth="1" style="662" min="257" max="257"/>
    <col width="19.453125" customWidth="1" style="662" min="258" max="258"/>
    <col width="22.453125" customWidth="1" style="662" min="259" max="259"/>
    <col width="16.453125" customWidth="1" style="662" min="260" max="260"/>
    <col width="40.26953125" customWidth="1" style="662" min="261" max="261"/>
    <col width="7.453125" customWidth="1" style="662" min="262" max="262"/>
    <col width="20.81640625" customWidth="1" style="662" min="263" max="263"/>
    <col width="9.1796875" customWidth="1" style="662" min="264" max="512"/>
    <col width="15.81640625" customWidth="1" style="662" min="513" max="513"/>
    <col width="19.453125" customWidth="1" style="662" min="514" max="514"/>
    <col width="22.453125" customWidth="1" style="662" min="515" max="515"/>
    <col width="16.453125" customWidth="1" style="662" min="516" max="516"/>
    <col width="40.26953125" customWidth="1" style="662" min="517" max="517"/>
    <col width="7.453125" customWidth="1" style="662" min="518" max="518"/>
    <col width="20.81640625" customWidth="1" style="662" min="519" max="519"/>
    <col width="9.1796875" customWidth="1" style="662" min="520" max="768"/>
    <col width="15.81640625" customWidth="1" style="662" min="769" max="769"/>
    <col width="19.453125" customWidth="1" style="662" min="770" max="770"/>
    <col width="22.453125" customWidth="1" style="662" min="771" max="771"/>
    <col width="16.453125" customWidth="1" style="662" min="772" max="772"/>
    <col width="40.26953125" customWidth="1" style="662" min="773" max="773"/>
    <col width="7.453125" customWidth="1" style="662" min="774" max="774"/>
    <col width="20.81640625" customWidth="1" style="662" min="775" max="775"/>
    <col width="9.1796875" customWidth="1" style="662" min="776" max="1024"/>
    <col width="15.81640625" customWidth="1" style="662" min="1025" max="1025"/>
    <col width="19.453125" customWidth="1" style="662" min="1026" max="1026"/>
    <col width="22.453125" customWidth="1" style="662" min="1027" max="1027"/>
    <col width="16.453125" customWidth="1" style="662" min="1028" max="1028"/>
    <col width="40.26953125" customWidth="1" style="662" min="1029" max="1029"/>
    <col width="7.453125" customWidth="1" style="662" min="1030" max="1030"/>
    <col width="20.81640625" customWidth="1" style="662" min="1031" max="1031"/>
    <col width="9.1796875" customWidth="1" style="662" min="1032" max="1280"/>
    <col width="15.81640625" customWidth="1" style="662" min="1281" max="1281"/>
    <col width="19.453125" customWidth="1" style="662" min="1282" max="1282"/>
    <col width="22.453125" customWidth="1" style="662" min="1283" max="1283"/>
    <col width="16.453125" customWidth="1" style="662" min="1284" max="1284"/>
    <col width="40.26953125" customWidth="1" style="662" min="1285" max="1285"/>
    <col width="7.453125" customWidth="1" style="662" min="1286" max="1286"/>
    <col width="20.81640625" customWidth="1" style="662" min="1287" max="1287"/>
    <col width="9.1796875" customWidth="1" style="662" min="1288" max="1536"/>
    <col width="15.81640625" customWidth="1" style="662" min="1537" max="1537"/>
    <col width="19.453125" customWidth="1" style="662" min="1538" max="1538"/>
    <col width="22.453125" customWidth="1" style="662" min="1539" max="1539"/>
    <col width="16.453125" customWidth="1" style="662" min="1540" max="1540"/>
    <col width="40.26953125" customWidth="1" style="662" min="1541" max="1541"/>
    <col width="7.453125" customWidth="1" style="662" min="1542" max="1542"/>
    <col width="20.81640625" customWidth="1" style="662" min="1543" max="1543"/>
    <col width="9.1796875" customWidth="1" style="662" min="1544" max="1792"/>
    <col width="15.81640625" customWidth="1" style="662" min="1793" max="1793"/>
    <col width="19.453125" customWidth="1" style="662" min="1794" max="1794"/>
    <col width="22.453125" customWidth="1" style="662" min="1795" max="1795"/>
    <col width="16.453125" customWidth="1" style="662" min="1796" max="1796"/>
    <col width="40.26953125" customWidth="1" style="662" min="1797" max="1797"/>
    <col width="7.453125" customWidth="1" style="662" min="1798" max="1798"/>
    <col width="20.81640625" customWidth="1" style="662" min="1799" max="1799"/>
    <col width="9.1796875" customWidth="1" style="662" min="1800" max="2048"/>
    <col width="15.81640625" customWidth="1" style="662" min="2049" max="2049"/>
    <col width="19.453125" customWidth="1" style="662" min="2050" max="2050"/>
    <col width="22.453125" customWidth="1" style="662" min="2051" max="2051"/>
    <col width="16.453125" customWidth="1" style="662" min="2052" max="2052"/>
    <col width="40.26953125" customWidth="1" style="662" min="2053" max="2053"/>
    <col width="7.453125" customWidth="1" style="662" min="2054" max="2054"/>
    <col width="20.81640625" customWidth="1" style="662" min="2055" max="2055"/>
    <col width="9.1796875" customWidth="1" style="662" min="2056" max="2304"/>
    <col width="15.81640625" customWidth="1" style="662" min="2305" max="2305"/>
    <col width="19.453125" customWidth="1" style="662" min="2306" max="2306"/>
    <col width="22.453125" customWidth="1" style="662" min="2307" max="2307"/>
    <col width="16.453125" customWidth="1" style="662" min="2308" max="2308"/>
    <col width="40.26953125" customWidth="1" style="662" min="2309" max="2309"/>
    <col width="7.453125" customWidth="1" style="662" min="2310" max="2310"/>
    <col width="20.81640625" customWidth="1" style="662" min="2311" max="2311"/>
    <col width="9.1796875" customWidth="1" style="662" min="2312" max="2560"/>
    <col width="15.81640625" customWidth="1" style="662" min="2561" max="2561"/>
    <col width="19.453125" customWidth="1" style="662" min="2562" max="2562"/>
    <col width="22.453125" customWidth="1" style="662" min="2563" max="2563"/>
    <col width="16.453125" customWidth="1" style="662" min="2564" max="2564"/>
    <col width="40.26953125" customWidth="1" style="662" min="2565" max="2565"/>
    <col width="7.453125" customWidth="1" style="662" min="2566" max="2566"/>
    <col width="20.81640625" customWidth="1" style="662" min="2567" max="2567"/>
    <col width="9.1796875" customWidth="1" style="662" min="2568" max="2816"/>
    <col width="15.81640625" customWidth="1" style="662" min="2817" max="2817"/>
    <col width="19.453125" customWidth="1" style="662" min="2818" max="2818"/>
    <col width="22.453125" customWidth="1" style="662" min="2819" max="2819"/>
    <col width="16.453125" customWidth="1" style="662" min="2820" max="2820"/>
    <col width="40.26953125" customWidth="1" style="662" min="2821" max="2821"/>
    <col width="7.453125" customWidth="1" style="662" min="2822" max="2822"/>
    <col width="20.81640625" customWidth="1" style="662" min="2823" max="2823"/>
    <col width="9.1796875" customWidth="1" style="662" min="2824" max="3072"/>
    <col width="15.81640625" customWidth="1" style="662" min="3073" max="3073"/>
    <col width="19.453125" customWidth="1" style="662" min="3074" max="3074"/>
    <col width="22.453125" customWidth="1" style="662" min="3075" max="3075"/>
    <col width="16.453125" customWidth="1" style="662" min="3076" max="3076"/>
    <col width="40.26953125" customWidth="1" style="662" min="3077" max="3077"/>
    <col width="7.453125" customWidth="1" style="662" min="3078" max="3078"/>
    <col width="20.81640625" customWidth="1" style="662" min="3079" max="3079"/>
    <col width="9.1796875" customWidth="1" style="662" min="3080" max="3328"/>
    <col width="15.81640625" customWidth="1" style="662" min="3329" max="3329"/>
    <col width="19.453125" customWidth="1" style="662" min="3330" max="3330"/>
    <col width="22.453125" customWidth="1" style="662" min="3331" max="3331"/>
    <col width="16.453125" customWidth="1" style="662" min="3332" max="3332"/>
    <col width="40.26953125" customWidth="1" style="662" min="3333" max="3333"/>
    <col width="7.453125" customWidth="1" style="662" min="3334" max="3334"/>
    <col width="20.81640625" customWidth="1" style="662" min="3335" max="3335"/>
    <col width="9.1796875" customWidth="1" style="662" min="3336" max="3584"/>
    <col width="15.81640625" customWidth="1" style="662" min="3585" max="3585"/>
    <col width="19.453125" customWidth="1" style="662" min="3586" max="3586"/>
    <col width="22.453125" customWidth="1" style="662" min="3587" max="3587"/>
    <col width="16.453125" customWidth="1" style="662" min="3588" max="3588"/>
    <col width="40.26953125" customWidth="1" style="662" min="3589" max="3589"/>
    <col width="7.453125" customWidth="1" style="662" min="3590" max="3590"/>
    <col width="20.81640625" customWidth="1" style="662" min="3591" max="3591"/>
    <col width="9.1796875" customWidth="1" style="662" min="3592" max="3840"/>
    <col width="15.81640625" customWidth="1" style="662" min="3841" max="3841"/>
    <col width="19.453125" customWidth="1" style="662" min="3842" max="3842"/>
    <col width="22.453125" customWidth="1" style="662" min="3843" max="3843"/>
    <col width="16.453125" customWidth="1" style="662" min="3844" max="3844"/>
    <col width="40.26953125" customWidth="1" style="662" min="3845" max="3845"/>
    <col width="7.453125" customWidth="1" style="662" min="3846" max="3846"/>
    <col width="20.81640625" customWidth="1" style="662" min="3847" max="3847"/>
    <col width="9.1796875" customWidth="1" style="662" min="3848" max="4096"/>
    <col width="15.81640625" customWidth="1" style="662" min="4097" max="4097"/>
    <col width="19.453125" customWidth="1" style="662" min="4098" max="4098"/>
    <col width="22.453125" customWidth="1" style="662" min="4099" max="4099"/>
    <col width="16.453125" customWidth="1" style="662" min="4100" max="4100"/>
    <col width="40.26953125" customWidth="1" style="662" min="4101" max="4101"/>
    <col width="7.453125" customWidth="1" style="662" min="4102" max="4102"/>
    <col width="20.81640625" customWidth="1" style="662" min="4103" max="4103"/>
    <col width="9.1796875" customWidth="1" style="662" min="4104" max="4352"/>
    <col width="15.81640625" customWidth="1" style="662" min="4353" max="4353"/>
    <col width="19.453125" customWidth="1" style="662" min="4354" max="4354"/>
    <col width="22.453125" customWidth="1" style="662" min="4355" max="4355"/>
    <col width="16.453125" customWidth="1" style="662" min="4356" max="4356"/>
    <col width="40.26953125" customWidth="1" style="662" min="4357" max="4357"/>
    <col width="7.453125" customWidth="1" style="662" min="4358" max="4358"/>
    <col width="20.81640625" customWidth="1" style="662" min="4359" max="4359"/>
    <col width="9.1796875" customWidth="1" style="662" min="4360" max="4608"/>
    <col width="15.81640625" customWidth="1" style="662" min="4609" max="4609"/>
    <col width="19.453125" customWidth="1" style="662" min="4610" max="4610"/>
    <col width="22.453125" customWidth="1" style="662" min="4611" max="4611"/>
    <col width="16.453125" customWidth="1" style="662" min="4612" max="4612"/>
    <col width="40.26953125" customWidth="1" style="662" min="4613" max="4613"/>
    <col width="7.453125" customWidth="1" style="662" min="4614" max="4614"/>
    <col width="20.81640625" customWidth="1" style="662" min="4615" max="4615"/>
    <col width="9.1796875" customWidth="1" style="662" min="4616" max="4864"/>
    <col width="15.81640625" customWidth="1" style="662" min="4865" max="4865"/>
    <col width="19.453125" customWidth="1" style="662" min="4866" max="4866"/>
    <col width="22.453125" customWidth="1" style="662" min="4867" max="4867"/>
    <col width="16.453125" customWidth="1" style="662" min="4868" max="4868"/>
    <col width="40.26953125" customWidth="1" style="662" min="4869" max="4869"/>
    <col width="7.453125" customWidth="1" style="662" min="4870" max="4870"/>
    <col width="20.81640625" customWidth="1" style="662" min="4871" max="4871"/>
    <col width="9.1796875" customWidth="1" style="662" min="4872" max="5120"/>
    <col width="15.81640625" customWidth="1" style="662" min="5121" max="5121"/>
    <col width="19.453125" customWidth="1" style="662" min="5122" max="5122"/>
    <col width="22.453125" customWidth="1" style="662" min="5123" max="5123"/>
    <col width="16.453125" customWidth="1" style="662" min="5124" max="5124"/>
    <col width="40.26953125" customWidth="1" style="662" min="5125" max="5125"/>
    <col width="7.453125" customWidth="1" style="662" min="5126" max="5126"/>
    <col width="20.81640625" customWidth="1" style="662" min="5127" max="5127"/>
    <col width="9.1796875" customWidth="1" style="662" min="5128" max="5376"/>
    <col width="15.81640625" customWidth="1" style="662" min="5377" max="5377"/>
    <col width="19.453125" customWidth="1" style="662" min="5378" max="5378"/>
    <col width="22.453125" customWidth="1" style="662" min="5379" max="5379"/>
    <col width="16.453125" customWidth="1" style="662" min="5380" max="5380"/>
    <col width="40.26953125" customWidth="1" style="662" min="5381" max="5381"/>
    <col width="7.453125" customWidth="1" style="662" min="5382" max="5382"/>
    <col width="20.81640625" customWidth="1" style="662" min="5383" max="5383"/>
    <col width="9.1796875" customWidth="1" style="662" min="5384" max="5632"/>
    <col width="15.81640625" customWidth="1" style="662" min="5633" max="5633"/>
    <col width="19.453125" customWidth="1" style="662" min="5634" max="5634"/>
    <col width="22.453125" customWidth="1" style="662" min="5635" max="5635"/>
    <col width="16.453125" customWidth="1" style="662" min="5636" max="5636"/>
    <col width="40.26953125" customWidth="1" style="662" min="5637" max="5637"/>
    <col width="7.453125" customWidth="1" style="662" min="5638" max="5638"/>
    <col width="20.81640625" customWidth="1" style="662" min="5639" max="5639"/>
    <col width="9.1796875" customWidth="1" style="662" min="5640" max="5888"/>
    <col width="15.81640625" customWidth="1" style="662" min="5889" max="5889"/>
    <col width="19.453125" customWidth="1" style="662" min="5890" max="5890"/>
    <col width="22.453125" customWidth="1" style="662" min="5891" max="5891"/>
    <col width="16.453125" customWidth="1" style="662" min="5892" max="5892"/>
    <col width="40.26953125" customWidth="1" style="662" min="5893" max="5893"/>
    <col width="7.453125" customWidth="1" style="662" min="5894" max="5894"/>
    <col width="20.81640625" customWidth="1" style="662" min="5895" max="5895"/>
    <col width="9.1796875" customWidth="1" style="662" min="5896" max="6144"/>
    <col width="15.81640625" customWidth="1" style="662" min="6145" max="6145"/>
    <col width="19.453125" customWidth="1" style="662" min="6146" max="6146"/>
    <col width="22.453125" customWidth="1" style="662" min="6147" max="6147"/>
    <col width="16.453125" customWidth="1" style="662" min="6148" max="6148"/>
    <col width="40.26953125" customWidth="1" style="662" min="6149" max="6149"/>
    <col width="7.453125" customWidth="1" style="662" min="6150" max="6150"/>
    <col width="20.81640625" customWidth="1" style="662" min="6151" max="6151"/>
    <col width="9.1796875" customWidth="1" style="662" min="6152" max="6400"/>
    <col width="15.81640625" customWidth="1" style="662" min="6401" max="6401"/>
    <col width="19.453125" customWidth="1" style="662" min="6402" max="6402"/>
    <col width="22.453125" customWidth="1" style="662" min="6403" max="6403"/>
    <col width="16.453125" customWidth="1" style="662" min="6404" max="6404"/>
    <col width="40.26953125" customWidth="1" style="662" min="6405" max="6405"/>
    <col width="7.453125" customWidth="1" style="662" min="6406" max="6406"/>
    <col width="20.81640625" customWidth="1" style="662" min="6407" max="6407"/>
    <col width="9.1796875" customWidth="1" style="662" min="6408" max="6656"/>
    <col width="15.81640625" customWidth="1" style="662" min="6657" max="6657"/>
    <col width="19.453125" customWidth="1" style="662" min="6658" max="6658"/>
    <col width="22.453125" customWidth="1" style="662" min="6659" max="6659"/>
    <col width="16.453125" customWidth="1" style="662" min="6660" max="6660"/>
    <col width="40.26953125" customWidth="1" style="662" min="6661" max="6661"/>
    <col width="7.453125" customWidth="1" style="662" min="6662" max="6662"/>
    <col width="20.81640625" customWidth="1" style="662" min="6663" max="6663"/>
    <col width="9.1796875" customWidth="1" style="662" min="6664" max="6912"/>
    <col width="15.81640625" customWidth="1" style="662" min="6913" max="6913"/>
    <col width="19.453125" customWidth="1" style="662" min="6914" max="6914"/>
    <col width="22.453125" customWidth="1" style="662" min="6915" max="6915"/>
    <col width="16.453125" customWidth="1" style="662" min="6916" max="6916"/>
    <col width="40.26953125" customWidth="1" style="662" min="6917" max="6917"/>
    <col width="7.453125" customWidth="1" style="662" min="6918" max="6918"/>
    <col width="20.81640625" customWidth="1" style="662" min="6919" max="6919"/>
    <col width="9.1796875" customWidth="1" style="662" min="6920" max="7168"/>
    <col width="15.81640625" customWidth="1" style="662" min="7169" max="7169"/>
    <col width="19.453125" customWidth="1" style="662" min="7170" max="7170"/>
    <col width="22.453125" customWidth="1" style="662" min="7171" max="7171"/>
    <col width="16.453125" customWidth="1" style="662" min="7172" max="7172"/>
    <col width="40.26953125" customWidth="1" style="662" min="7173" max="7173"/>
    <col width="7.453125" customWidth="1" style="662" min="7174" max="7174"/>
    <col width="20.81640625" customWidth="1" style="662" min="7175" max="7175"/>
    <col width="9.1796875" customWidth="1" style="662" min="7176" max="7424"/>
    <col width="15.81640625" customWidth="1" style="662" min="7425" max="7425"/>
    <col width="19.453125" customWidth="1" style="662" min="7426" max="7426"/>
    <col width="22.453125" customWidth="1" style="662" min="7427" max="7427"/>
    <col width="16.453125" customWidth="1" style="662" min="7428" max="7428"/>
    <col width="40.26953125" customWidth="1" style="662" min="7429" max="7429"/>
    <col width="7.453125" customWidth="1" style="662" min="7430" max="7430"/>
    <col width="20.81640625" customWidth="1" style="662" min="7431" max="7431"/>
    <col width="9.1796875" customWidth="1" style="662" min="7432" max="7680"/>
    <col width="15.81640625" customWidth="1" style="662" min="7681" max="7681"/>
    <col width="19.453125" customWidth="1" style="662" min="7682" max="7682"/>
    <col width="22.453125" customWidth="1" style="662" min="7683" max="7683"/>
    <col width="16.453125" customWidth="1" style="662" min="7684" max="7684"/>
    <col width="40.26953125" customWidth="1" style="662" min="7685" max="7685"/>
    <col width="7.453125" customWidth="1" style="662" min="7686" max="7686"/>
    <col width="20.81640625" customWidth="1" style="662" min="7687" max="7687"/>
    <col width="9.1796875" customWidth="1" style="662" min="7688" max="7936"/>
    <col width="15.81640625" customWidth="1" style="662" min="7937" max="7937"/>
    <col width="19.453125" customWidth="1" style="662" min="7938" max="7938"/>
    <col width="22.453125" customWidth="1" style="662" min="7939" max="7939"/>
    <col width="16.453125" customWidth="1" style="662" min="7940" max="7940"/>
    <col width="40.26953125" customWidth="1" style="662" min="7941" max="7941"/>
    <col width="7.453125" customWidth="1" style="662" min="7942" max="7942"/>
    <col width="20.81640625" customWidth="1" style="662" min="7943" max="7943"/>
    <col width="9.1796875" customWidth="1" style="662" min="7944" max="8192"/>
    <col width="15.81640625" customWidth="1" style="662" min="8193" max="8193"/>
    <col width="19.453125" customWidth="1" style="662" min="8194" max="8194"/>
    <col width="22.453125" customWidth="1" style="662" min="8195" max="8195"/>
    <col width="16.453125" customWidth="1" style="662" min="8196" max="8196"/>
    <col width="40.26953125" customWidth="1" style="662" min="8197" max="8197"/>
    <col width="7.453125" customWidth="1" style="662" min="8198" max="8198"/>
    <col width="20.81640625" customWidth="1" style="662" min="8199" max="8199"/>
    <col width="9.1796875" customWidth="1" style="662" min="8200" max="8448"/>
    <col width="15.81640625" customWidth="1" style="662" min="8449" max="8449"/>
    <col width="19.453125" customWidth="1" style="662" min="8450" max="8450"/>
    <col width="22.453125" customWidth="1" style="662" min="8451" max="8451"/>
    <col width="16.453125" customWidth="1" style="662" min="8452" max="8452"/>
    <col width="40.26953125" customWidth="1" style="662" min="8453" max="8453"/>
    <col width="7.453125" customWidth="1" style="662" min="8454" max="8454"/>
    <col width="20.81640625" customWidth="1" style="662" min="8455" max="8455"/>
    <col width="9.1796875" customWidth="1" style="662" min="8456" max="8704"/>
    <col width="15.81640625" customWidth="1" style="662" min="8705" max="8705"/>
    <col width="19.453125" customWidth="1" style="662" min="8706" max="8706"/>
    <col width="22.453125" customWidth="1" style="662" min="8707" max="8707"/>
    <col width="16.453125" customWidth="1" style="662" min="8708" max="8708"/>
    <col width="40.26953125" customWidth="1" style="662" min="8709" max="8709"/>
    <col width="7.453125" customWidth="1" style="662" min="8710" max="8710"/>
    <col width="20.81640625" customWidth="1" style="662" min="8711" max="8711"/>
    <col width="9.1796875" customWidth="1" style="662" min="8712" max="8960"/>
    <col width="15.81640625" customWidth="1" style="662" min="8961" max="8961"/>
    <col width="19.453125" customWidth="1" style="662" min="8962" max="8962"/>
    <col width="22.453125" customWidth="1" style="662" min="8963" max="8963"/>
    <col width="16.453125" customWidth="1" style="662" min="8964" max="8964"/>
    <col width="40.26953125" customWidth="1" style="662" min="8965" max="8965"/>
    <col width="7.453125" customWidth="1" style="662" min="8966" max="8966"/>
    <col width="20.81640625" customWidth="1" style="662" min="8967" max="8967"/>
    <col width="9.1796875" customWidth="1" style="662" min="8968" max="9216"/>
    <col width="15.81640625" customWidth="1" style="662" min="9217" max="9217"/>
    <col width="19.453125" customWidth="1" style="662" min="9218" max="9218"/>
    <col width="22.453125" customWidth="1" style="662" min="9219" max="9219"/>
    <col width="16.453125" customWidth="1" style="662" min="9220" max="9220"/>
    <col width="40.26953125" customWidth="1" style="662" min="9221" max="9221"/>
    <col width="7.453125" customWidth="1" style="662" min="9222" max="9222"/>
    <col width="20.81640625" customWidth="1" style="662" min="9223" max="9223"/>
    <col width="9.1796875" customWidth="1" style="662" min="9224" max="9472"/>
    <col width="15.81640625" customWidth="1" style="662" min="9473" max="9473"/>
    <col width="19.453125" customWidth="1" style="662" min="9474" max="9474"/>
    <col width="22.453125" customWidth="1" style="662" min="9475" max="9475"/>
    <col width="16.453125" customWidth="1" style="662" min="9476" max="9476"/>
    <col width="40.26953125" customWidth="1" style="662" min="9477" max="9477"/>
    <col width="7.453125" customWidth="1" style="662" min="9478" max="9478"/>
    <col width="20.81640625" customWidth="1" style="662" min="9479" max="9479"/>
    <col width="9.1796875" customWidth="1" style="662" min="9480" max="9728"/>
    <col width="15.81640625" customWidth="1" style="662" min="9729" max="9729"/>
    <col width="19.453125" customWidth="1" style="662" min="9730" max="9730"/>
    <col width="22.453125" customWidth="1" style="662" min="9731" max="9731"/>
    <col width="16.453125" customWidth="1" style="662" min="9732" max="9732"/>
    <col width="40.26953125" customWidth="1" style="662" min="9733" max="9733"/>
    <col width="7.453125" customWidth="1" style="662" min="9734" max="9734"/>
    <col width="20.81640625" customWidth="1" style="662" min="9735" max="9735"/>
    <col width="9.1796875" customWidth="1" style="662" min="9736" max="9984"/>
    <col width="15.81640625" customWidth="1" style="662" min="9985" max="9985"/>
    <col width="19.453125" customWidth="1" style="662" min="9986" max="9986"/>
    <col width="22.453125" customWidth="1" style="662" min="9987" max="9987"/>
    <col width="16.453125" customWidth="1" style="662" min="9988" max="9988"/>
    <col width="40.26953125" customWidth="1" style="662" min="9989" max="9989"/>
    <col width="7.453125" customWidth="1" style="662" min="9990" max="9990"/>
    <col width="20.81640625" customWidth="1" style="662" min="9991" max="9991"/>
    <col width="9.1796875" customWidth="1" style="662" min="9992" max="10240"/>
    <col width="15.81640625" customWidth="1" style="662" min="10241" max="10241"/>
    <col width="19.453125" customWidth="1" style="662" min="10242" max="10242"/>
    <col width="22.453125" customWidth="1" style="662" min="10243" max="10243"/>
    <col width="16.453125" customWidth="1" style="662" min="10244" max="10244"/>
    <col width="40.26953125" customWidth="1" style="662" min="10245" max="10245"/>
    <col width="7.453125" customWidth="1" style="662" min="10246" max="10246"/>
    <col width="20.81640625" customWidth="1" style="662" min="10247" max="10247"/>
    <col width="9.1796875" customWidth="1" style="662" min="10248" max="10496"/>
    <col width="15.81640625" customWidth="1" style="662" min="10497" max="10497"/>
    <col width="19.453125" customWidth="1" style="662" min="10498" max="10498"/>
    <col width="22.453125" customWidth="1" style="662" min="10499" max="10499"/>
    <col width="16.453125" customWidth="1" style="662" min="10500" max="10500"/>
    <col width="40.26953125" customWidth="1" style="662" min="10501" max="10501"/>
    <col width="7.453125" customWidth="1" style="662" min="10502" max="10502"/>
    <col width="20.81640625" customWidth="1" style="662" min="10503" max="10503"/>
    <col width="9.1796875" customWidth="1" style="662" min="10504" max="10752"/>
    <col width="15.81640625" customWidth="1" style="662" min="10753" max="10753"/>
    <col width="19.453125" customWidth="1" style="662" min="10754" max="10754"/>
    <col width="22.453125" customWidth="1" style="662" min="10755" max="10755"/>
    <col width="16.453125" customWidth="1" style="662" min="10756" max="10756"/>
    <col width="40.26953125" customWidth="1" style="662" min="10757" max="10757"/>
    <col width="7.453125" customWidth="1" style="662" min="10758" max="10758"/>
    <col width="20.81640625" customWidth="1" style="662" min="10759" max="10759"/>
    <col width="9.1796875" customWidth="1" style="662" min="10760" max="11008"/>
    <col width="15.81640625" customWidth="1" style="662" min="11009" max="11009"/>
    <col width="19.453125" customWidth="1" style="662" min="11010" max="11010"/>
    <col width="22.453125" customWidth="1" style="662" min="11011" max="11011"/>
    <col width="16.453125" customWidth="1" style="662" min="11012" max="11012"/>
    <col width="40.26953125" customWidth="1" style="662" min="11013" max="11013"/>
    <col width="7.453125" customWidth="1" style="662" min="11014" max="11014"/>
    <col width="20.81640625" customWidth="1" style="662" min="11015" max="11015"/>
    <col width="9.1796875" customWidth="1" style="662" min="11016" max="11264"/>
    <col width="15.81640625" customWidth="1" style="662" min="11265" max="11265"/>
    <col width="19.453125" customWidth="1" style="662" min="11266" max="11266"/>
    <col width="22.453125" customWidth="1" style="662" min="11267" max="11267"/>
    <col width="16.453125" customWidth="1" style="662" min="11268" max="11268"/>
    <col width="40.26953125" customWidth="1" style="662" min="11269" max="11269"/>
    <col width="7.453125" customWidth="1" style="662" min="11270" max="11270"/>
    <col width="20.81640625" customWidth="1" style="662" min="11271" max="11271"/>
    <col width="9.1796875" customWidth="1" style="662" min="11272" max="11520"/>
    <col width="15.81640625" customWidth="1" style="662" min="11521" max="11521"/>
    <col width="19.453125" customWidth="1" style="662" min="11522" max="11522"/>
    <col width="22.453125" customWidth="1" style="662" min="11523" max="11523"/>
    <col width="16.453125" customWidth="1" style="662" min="11524" max="11524"/>
    <col width="40.26953125" customWidth="1" style="662" min="11525" max="11525"/>
    <col width="7.453125" customWidth="1" style="662" min="11526" max="11526"/>
    <col width="20.81640625" customWidth="1" style="662" min="11527" max="11527"/>
    <col width="9.1796875" customWidth="1" style="662" min="11528" max="11776"/>
    <col width="15.81640625" customWidth="1" style="662" min="11777" max="11777"/>
    <col width="19.453125" customWidth="1" style="662" min="11778" max="11778"/>
    <col width="22.453125" customWidth="1" style="662" min="11779" max="11779"/>
    <col width="16.453125" customWidth="1" style="662" min="11780" max="11780"/>
    <col width="40.26953125" customWidth="1" style="662" min="11781" max="11781"/>
    <col width="7.453125" customWidth="1" style="662" min="11782" max="11782"/>
    <col width="20.81640625" customWidth="1" style="662" min="11783" max="11783"/>
    <col width="9.1796875" customWidth="1" style="662" min="11784" max="12032"/>
    <col width="15.81640625" customWidth="1" style="662" min="12033" max="12033"/>
    <col width="19.453125" customWidth="1" style="662" min="12034" max="12034"/>
    <col width="22.453125" customWidth="1" style="662" min="12035" max="12035"/>
    <col width="16.453125" customWidth="1" style="662" min="12036" max="12036"/>
    <col width="40.26953125" customWidth="1" style="662" min="12037" max="12037"/>
    <col width="7.453125" customWidth="1" style="662" min="12038" max="12038"/>
    <col width="20.81640625" customWidth="1" style="662" min="12039" max="12039"/>
    <col width="9.1796875" customWidth="1" style="662" min="12040" max="12288"/>
    <col width="15.81640625" customWidth="1" style="662" min="12289" max="12289"/>
    <col width="19.453125" customWidth="1" style="662" min="12290" max="12290"/>
    <col width="22.453125" customWidth="1" style="662" min="12291" max="12291"/>
    <col width="16.453125" customWidth="1" style="662" min="12292" max="12292"/>
    <col width="40.26953125" customWidth="1" style="662" min="12293" max="12293"/>
    <col width="7.453125" customWidth="1" style="662" min="12294" max="12294"/>
    <col width="20.81640625" customWidth="1" style="662" min="12295" max="12295"/>
    <col width="9.1796875" customWidth="1" style="662" min="12296" max="12544"/>
    <col width="15.81640625" customWidth="1" style="662" min="12545" max="12545"/>
    <col width="19.453125" customWidth="1" style="662" min="12546" max="12546"/>
    <col width="22.453125" customWidth="1" style="662" min="12547" max="12547"/>
    <col width="16.453125" customWidth="1" style="662" min="12548" max="12548"/>
    <col width="40.26953125" customWidth="1" style="662" min="12549" max="12549"/>
    <col width="7.453125" customWidth="1" style="662" min="12550" max="12550"/>
    <col width="20.81640625" customWidth="1" style="662" min="12551" max="12551"/>
    <col width="9.1796875" customWidth="1" style="662" min="12552" max="12800"/>
    <col width="15.81640625" customWidth="1" style="662" min="12801" max="12801"/>
    <col width="19.453125" customWidth="1" style="662" min="12802" max="12802"/>
    <col width="22.453125" customWidth="1" style="662" min="12803" max="12803"/>
    <col width="16.453125" customWidth="1" style="662" min="12804" max="12804"/>
    <col width="40.26953125" customWidth="1" style="662" min="12805" max="12805"/>
    <col width="7.453125" customWidth="1" style="662" min="12806" max="12806"/>
    <col width="20.81640625" customWidth="1" style="662" min="12807" max="12807"/>
    <col width="9.1796875" customWidth="1" style="662" min="12808" max="13056"/>
    <col width="15.81640625" customWidth="1" style="662" min="13057" max="13057"/>
    <col width="19.453125" customWidth="1" style="662" min="13058" max="13058"/>
    <col width="22.453125" customWidth="1" style="662" min="13059" max="13059"/>
    <col width="16.453125" customWidth="1" style="662" min="13060" max="13060"/>
    <col width="40.26953125" customWidth="1" style="662" min="13061" max="13061"/>
    <col width="7.453125" customWidth="1" style="662" min="13062" max="13062"/>
    <col width="20.81640625" customWidth="1" style="662" min="13063" max="13063"/>
    <col width="9.1796875" customWidth="1" style="662" min="13064" max="13312"/>
    <col width="15.81640625" customWidth="1" style="662" min="13313" max="13313"/>
    <col width="19.453125" customWidth="1" style="662" min="13314" max="13314"/>
    <col width="22.453125" customWidth="1" style="662" min="13315" max="13315"/>
    <col width="16.453125" customWidth="1" style="662" min="13316" max="13316"/>
    <col width="40.26953125" customWidth="1" style="662" min="13317" max="13317"/>
    <col width="7.453125" customWidth="1" style="662" min="13318" max="13318"/>
    <col width="20.81640625" customWidth="1" style="662" min="13319" max="13319"/>
    <col width="9.1796875" customWidth="1" style="662" min="13320" max="13568"/>
    <col width="15.81640625" customWidth="1" style="662" min="13569" max="13569"/>
    <col width="19.453125" customWidth="1" style="662" min="13570" max="13570"/>
    <col width="22.453125" customWidth="1" style="662" min="13571" max="13571"/>
    <col width="16.453125" customWidth="1" style="662" min="13572" max="13572"/>
    <col width="40.26953125" customWidth="1" style="662" min="13573" max="13573"/>
    <col width="7.453125" customWidth="1" style="662" min="13574" max="13574"/>
    <col width="20.81640625" customWidth="1" style="662" min="13575" max="13575"/>
    <col width="9.1796875" customWidth="1" style="662" min="13576" max="13824"/>
    <col width="15.81640625" customWidth="1" style="662" min="13825" max="13825"/>
    <col width="19.453125" customWidth="1" style="662" min="13826" max="13826"/>
    <col width="22.453125" customWidth="1" style="662" min="13827" max="13827"/>
    <col width="16.453125" customWidth="1" style="662" min="13828" max="13828"/>
    <col width="40.26953125" customWidth="1" style="662" min="13829" max="13829"/>
    <col width="7.453125" customWidth="1" style="662" min="13830" max="13830"/>
    <col width="20.81640625" customWidth="1" style="662" min="13831" max="13831"/>
    <col width="9.1796875" customWidth="1" style="662" min="13832" max="14080"/>
    <col width="15.81640625" customWidth="1" style="662" min="14081" max="14081"/>
    <col width="19.453125" customWidth="1" style="662" min="14082" max="14082"/>
    <col width="22.453125" customWidth="1" style="662" min="14083" max="14083"/>
    <col width="16.453125" customWidth="1" style="662" min="14084" max="14084"/>
    <col width="40.26953125" customWidth="1" style="662" min="14085" max="14085"/>
    <col width="7.453125" customWidth="1" style="662" min="14086" max="14086"/>
    <col width="20.81640625" customWidth="1" style="662" min="14087" max="14087"/>
    <col width="9.1796875" customWidth="1" style="662" min="14088" max="14336"/>
    <col width="15.81640625" customWidth="1" style="662" min="14337" max="14337"/>
    <col width="19.453125" customWidth="1" style="662" min="14338" max="14338"/>
    <col width="22.453125" customWidth="1" style="662" min="14339" max="14339"/>
    <col width="16.453125" customWidth="1" style="662" min="14340" max="14340"/>
    <col width="40.26953125" customWidth="1" style="662" min="14341" max="14341"/>
    <col width="7.453125" customWidth="1" style="662" min="14342" max="14342"/>
    <col width="20.81640625" customWidth="1" style="662" min="14343" max="14343"/>
    <col width="9.1796875" customWidth="1" style="662" min="14344" max="14592"/>
    <col width="15.81640625" customWidth="1" style="662" min="14593" max="14593"/>
    <col width="19.453125" customWidth="1" style="662" min="14594" max="14594"/>
    <col width="22.453125" customWidth="1" style="662" min="14595" max="14595"/>
    <col width="16.453125" customWidth="1" style="662" min="14596" max="14596"/>
    <col width="40.26953125" customWidth="1" style="662" min="14597" max="14597"/>
    <col width="7.453125" customWidth="1" style="662" min="14598" max="14598"/>
    <col width="20.81640625" customWidth="1" style="662" min="14599" max="14599"/>
    <col width="9.1796875" customWidth="1" style="662" min="14600" max="14848"/>
    <col width="15.81640625" customWidth="1" style="662" min="14849" max="14849"/>
    <col width="19.453125" customWidth="1" style="662" min="14850" max="14850"/>
    <col width="22.453125" customWidth="1" style="662" min="14851" max="14851"/>
    <col width="16.453125" customWidth="1" style="662" min="14852" max="14852"/>
    <col width="40.26953125" customWidth="1" style="662" min="14853" max="14853"/>
    <col width="7.453125" customWidth="1" style="662" min="14854" max="14854"/>
    <col width="20.81640625" customWidth="1" style="662" min="14855" max="14855"/>
    <col width="9.1796875" customWidth="1" style="662" min="14856" max="15104"/>
    <col width="15.81640625" customWidth="1" style="662" min="15105" max="15105"/>
    <col width="19.453125" customWidth="1" style="662" min="15106" max="15106"/>
    <col width="22.453125" customWidth="1" style="662" min="15107" max="15107"/>
    <col width="16.453125" customWidth="1" style="662" min="15108" max="15108"/>
    <col width="40.26953125" customWidth="1" style="662" min="15109" max="15109"/>
    <col width="7.453125" customWidth="1" style="662" min="15110" max="15110"/>
    <col width="20.81640625" customWidth="1" style="662" min="15111" max="15111"/>
    <col width="9.1796875" customWidth="1" style="662" min="15112" max="15360"/>
    <col width="15.81640625" customWidth="1" style="662" min="15361" max="15361"/>
    <col width="19.453125" customWidth="1" style="662" min="15362" max="15362"/>
    <col width="22.453125" customWidth="1" style="662" min="15363" max="15363"/>
    <col width="16.453125" customWidth="1" style="662" min="15364" max="15364"/>
    <col width="40.26953125" customWidth="1" style="662" min="15365" max="15365"/>
    <col width="7.453125" customWidth="1" style="662" min="15366" max="15366"/>
    <col width="20.81640625" customWidth="1" style="662" min="15367" max="15367"/>
    <col width="9.1796875" customWidth="1" style="662" min="15368" max="15616"/>
    <col width="15.81640625" customWidth="1" style="662" min="15617" max="15617"/>
    <col width="19.453125" customWidth="1" style="662" min="15618" max="15618"/>
    <col width="22.453125" customWidth="1" style="662" min="15619" max="15619"/>
    <col width="16.453125" customWidth="1" style="662" min="15620" max="15620"/>
    <col width="40.26953125" customWidth="1" style="662" min="15621" max="15621"/>
    <col width="7.453125" customWidth="1" style="662" min="15622" max="15622"/>
    <col width="20.81640625" customWidth="1" style="662" min="15623" max="15623"/>
    <col width="9.1796875" customWidth="1" style="662" min="15624" max="15872"/>
    <col width="15.81640625" customWidth="1" style="662" min="15873" max="15873"/>
    <col width="19.453125" customWidth="1" style="662" min="15874" max="15874"/>
    <col width="22.453125" customWidth="1" style="662" min="15875" max="15875"/>
    <col width="16.453125" customWidth="1" style="662" min="15876" max="15876"/>
    <col width="40.26953125" customWidth="1" style="662" min="15877" max="15877"/>
    <col width="7.453125" customWidth="1" style="662" min="15878" max="15878"/>
    <col width="20.81640625" customWidth="1" style="662" min="15879" max="15879"/>
    <col width="9.1796875" customWidth="1" style="662" min="15880" max="16128"/>
    <col width="15.81640625" customWidth="1" style="662" min="16129" max="16129"/>
    <col width="19.453125" customWidth="1" style="662" min="16130" max="16130"/>
    <col width="22.453125" customWidth="1" style="662" min="16131" max="16131"/>
    <col width="16.453125" customWidth="1" style="662" min="16132" max="16132"/>
    <col width="40.26953125" customWidth="1" style="662" min="16133" max="16133"/>
    <col width="7.453125" customWidth="1" style="662" min="16134" max="16134"/>
    <col width="20.81640625" customWidth="1" style="662" min="16135" max="16135"/>
    <col width="9.1796875" customWidth="1" style="662" min="16136" max="16384"/>
  </cols>
  <sheetData>
    <row r="1" ht="18.75" customHeight="1">
      <c r="A1" s="916" t="inlineStr">
        <is>
          <t>MPCI</t>
        </is>
      </c>
      <c r="B1" s="693" t="inlineStr">
        <is>
          <t>Maintenance Line Reliability Checklist</t>
        </is>
      </c>
      <c r="C1" s="856" t="n"/>
      <c r="D1" s="857" t="n"/>
      <c r="E1" s="268" t="inlineStr">
        <is>
          <t>Document ID:  FRM-503</t>
        </is>
      </c>
      <c r="F1" s="268" t="inlineStr">
        <is>
          <t>REVISION LEVEL: 012</t>
        </is>
      </c>
      <c r="G1" s="857" t="n"/>
      <c r="H1" s="269" t="n"/>
      <c r="I1" s="179" t="n"/>
      <c r="J1" s="179" t="n"/>
      <c r="K1" s="179" t="n"/>
      <c r="L1" s="179" t="n"/>
      <c r="M1" s="270" t="n"/>
      <c r="N1" s="270" t="n"/>
      <c r="O1" s="270" t="n"/>
      <c r="P1" s="270" t="n"/>
      <c r="Q1" s="179" t="n"/>
    </row>
    <row r="2" ht="25.5" customHeight="1">
      <c r="A2" s="846" t="n"/>
      <c r="B2" s="695" t="inlineStr">
        <is>
          <t>Form Reviewed by: Quality Coordinator</t>
        </is>
      </c>
      <c r="C2" s="695" t="inlineStr">
        <is>
          <t>Form Approved by:  Site Manager</t>
        </is>
      </c>
      <c r="D2" s="879" t="inlineStr">
        <is>
          <t>Reference:
JPX-873 Line Reliability</t>
        </is>
      </c>
      <c r="E2" s="857" t="n"/>
      <c r="F2" s="937" t="inlineStr">
        <is>
          <t>ISSUE DATE: 2/24/2018</t>
        </is>
      </c>
      <c r="G2" s="857" t="n"/>
      <c r="H2" s="271" t="n"/>
      <c r="I2" s="271" t="n"/>
      <c r="J2" s="271" t="n"/>
      <c r="K2" s="271" t="n"/>
      <c r="L2" s="271" t="n"/>
      <c r="M2" s="271" t="n"/>
      <c r="N2" s="271" t="n"/>
      <c r="O2" s="271" t="n"/>
      <c r="P2" s="271" t="n"/>
      <c r="Q2" s="271" t="n"/>
    </row>
    <row r="3" ht="11.25" customHeight="1">
      <c r="A3" s="272" t="n"/>
      <c r="B3" s="273" t="n"/>
      <c r="C3" s="273" t="n"/>
      <c r="D3" s="273" t="n"/>
      <c r="E3" s="273" t="n"/>
      <c r="F3" s="248" t="n"/>
      <c r="G3" s="274" t="n"/>
    </row>
    <row r="4" ht="12.75" customHeight="1">
      <c r="A4" s="275" t="inlineStr">
        <is>
          <t>Previous Job:</t>
        </is>
      </c>
      <c r="B4" s="534" t="n"/>
      <c r="C4" s="276" t="inlineStr">
        <is>
          <t>New Job:</t>
        </is>
      </c>
      <c r="D4" s="277">
        <f>IF(JobNumber&lt;&gt;0,JobNumber,"")</f>
        <v/>
      </c>
      <c r="E4" s="277">
        <f>"Product:  " &amp; [0]!GradeColor</f>
        <v/>
      </c>
      <c r="F4" s="276" t="inlineStr">
        <is>
          <t>Line:</t>
        </is>
      </c>
      <c r="G4" s="535">
        <f>IF(ProductionLineNumber&lt;&gt;0,ProductionLineNumber,"")</f>
        <v/>
      </c>
    </row>
    <row r="5" ht="6.75" customHeight="1"/>
    <row r="6" ht="23.25" customHeight="1">
      <c r="A6" s="278" t="inlineStr">
        <is>
          <t>Equipment</t>
        </is>
      </c>
      <c r="B6" s="938" t="inlineStr">
        <is>
          <t>Check</t>
        </is>
      </c>
      <c r="C6" s="857" t="n"/>
      <c r="D6" s="938" t="inlineStr">
        <is>
          <t>Required Condition</t>
        </is>
      </c>
      <c r="E6" s="857" t="n"/>
      <c r="F6" s="279" t="inlineStr">
        <is>
          <t>Status Y / N</t>
        </is>
      </c>
      <c r="G6" s="280" t="inlineStr">
        <is>
          <t>If No: comment</t>
        </is>
      </c>
    </row>
    <row r="7" ht="21.75" customHeight="1">
      <c r="A7" s="281" t="inlineStr">
        <is>
          <t>Feeders</t>
        </is>
      </c>
      <c r="B7" s="287" t="inlineStr">
        <is>
          <t>Inspect Safety Straps (red)</t>
        </is>
      </c>
      <c r="C7" s="857" t="n"/>
      <c r="D7" s="939" t="inlineStr">
        <is>
          <t>Both ends connected and no evidence of wear to strap</t>
        </is>
      </c>
      <c r="E7" s="857" t="n"/>
      <c r="F7" s="818" t="n"/>
      <c r="G7" s="818" t="n"/>
    </row>
    <row r="8" ht="30" customHeight="1">
      <c r="A8" s="283" t="n"/>
      <c r="B8" s="287" t="inlineStr">
        <is>
          <t>Inspect Feeder Hangers</t>
        </is>
      </c>
      <c r="C8" s="857" t="n"/>
      <c r="D8" s="940" t="inlineStr">
        <is>
          <t>Feeder mounting bracket hinges, and hopper hanger securely in place; with correct hardware.</t>
        </is>
      </c>
      <c r="E8" s="857" t="n"/>
      <c r="F8" s="818" t="n"/>
      <c r="G8" s="818" t="n"/>
    </row>
    <row r="9" ht="19.5" customHeight="1">
      <c r="A9" s="284" t="n"/>
      <c r="B9" s="287" t="inlineStr">
        <is>
          <t>Inspect Box Tilters</t>
        </is>
      </c>
      <c r="C9" s="857" t="n"/>
      <c r="D9" s="287" t="inlineStr">
        <is>
          <t>Reliability (Bolted down, Secure, Crate guard)</t>
        </is>
      </c>
      <c r="E9" s="857" t="n"/>
      <c r="F9" s="818" t="n"/>
      <c r="G9" s="818" t="n"/>
    </row>
    <row r="10" ht="34.5" customHeight="1">
      <c r="A10" s="281" t="inlineStr">
        <is>
          <t>Extruder</t>
        </is>
      </c>
      <c r="B10" s="287" t="inlineStr">
        <is>
          <t>Cycle each Extruder Zone thru Heat/Cool</t>
        </is>
      </c>
      <c r="C10" s="857" t="n"/>
      <c r="D10" s="287" t="inlineStr">
        <is>
          <t>All Zones Heat up and Cool down</t>
        </is>
      </c>
      <c r="E10" s="857" t="n"/>
      <c r="F10" s="818" t="n"/>
      <c r="G10" s="818" t="n"/>
    </row>
    <row r="11" ht="39" customHeight="1">
      <c r="A11" s="283" t="n"/>
      <c r="B11" s="287" t="inlineStr">
        <is>
          <t>Verify all temps are within Set-point and extruder blankets are in place</t>
        </is>
      </c>
      <c r="C11" s="857" t="n"/>
      <c r="D11" s="287" t="inlineStr">
        <is>
          <t xml:space="preserve">All temps with range (within 25 degrees)-all barrel sections covered with blankets or insulated covers </t>
        </is>
      </c>
      <c r="E11" s="857" t="n"/>
      <c r="F11" s="818" t="n"/>
      <c r="G11" s="818" t="n"/>
    </row>
    <row r="12" ht="39" customHeight="1">
      <c r="A12" s="283" t="n"/>
      <c r="B12" s="941" t="inlineStr">
        <is>
          <t>All cartridge heaters installed properly</t>
        </is>
      </c>
      <c r="C12" s="857" t="n"/>
      <c r="D12" s="941" t="inlineStr">
        <is>
          <t>All cartridge heaters complety inside of barrel sections and secured</t>
        </is>
      </c>
      <c r="E12" s="857" t="n"/>
      <c r="F12" s="818" t="n"/>
      <c r="G12" s="818" t="n"/>
    </row>
    <row r="13" ht="21" customHeight="1">
      <c r="A13" s="283" t="n"/>
      <c r="B13" s="287" t="inlineStr">
        <is>
          <t xml:space="preserve">Check Alarm Beacons </t>
        </is>
      </c>
      <c r="C13" s="857" t="n"/>
      <c r="D13" s="287" t="inlineStr">
        <is>
          <t>All Beacons OK</t>
        </is>
      </c>
      <c r="E13" s="857" t="n"/>
      <c r="F13" s="818" t="n"/>
      <c r="G13" s="818" t="n"/>
    </row>
    <row r="14" ht="19.5" customHeight="1">
      <c r="A14" s="283" t="n"/>
      <c r="B14" s="287" t="inlineStr">
        <is>
          <t>Check Gearbox oil level</t>
        </is>
      </c>
      <c r="C14" s="857" t="n"/>
      <c r="D14" s="287" t="inlineStr">
        <is>
          <t>Oil level OK</t>
        </is>
      </c>
      <c r="E14" s="857" t="n"/>
      <c r="F14" s="818" t="n"/>
      <c r="G14" s="818" t="n"/>
    </row>
    <row r="15" ht="36" customHeight="1">
      <c r="A15" s="284" t="n"/>
      <c r="B15" s="287" t="inlineStr">
        <is>
          <t>Check Vacuum gauge &amp; inserts</t>
        </is>
      </c>
      <c r="C15" s="857" t="n"/>
      <c r="D15" s="287" t="inlineStr">
        <is>
          <t>Reading “0” and inserts are incorrect position and clean.  Should be able to see screws if clean</t>
        </is>
      </c>
      <c r="E15" s="857" t="n"/>
      <c r="F15" s="818" t="n"/>
      <c r="G15" s="818" t="n"/>
    </row>
    <row r="16">
      <c r="A16" s="942" t="inlineStr">
        <is>
          <t>Screen Changer Poly Diverter</t>
        </is>
      </c>
      <c r="B16" s="287" t="inlineStr">
        <is>
          <t>Check Safety Switches</t>
        </is>
      </c>
      <c r="C16" s="859" t="n"/>
      <c r="D16" s="287" t="inlineStr">
        <is>
          <t>All switches are operational (dump Hydraulic Pressure)</t>
        </is>
      </c>
      <c r="E16" s="859" t="n"/>
      <c r="F16" s="818" t="n"/>
      <c r="G16" s="818" t="n"/>
    </row>
    <row r="17" ht="30.75" customHeight="1">
      <c r="A17" s="943" t="n"/>
      <c r="B17" s="474" t="n"/>
      <c r="C17" s="442" t="n"/>
      <c r="D17" s="474" t="n"/>
      <c r="E17" s="442" t="n"/>
      <c r="F17" s="846" t="n"/>
      <c r="G17" s="846" t="n"/>
    </row>
    <row r="18" ht="24" customHeight="1">
      <c r="A18" s="943" t="n"/>
      <c r="B18" s="287" t="inlineStr">
        <is>
          <t xml:space="preserve">Check Pressure Transducers </t>
        </is>
      </c>
      <c r="C18" s="857" t="n"/>
      <c r="D18" s="287" t="inlineStr">
        <is>
          <t xml:space="preserve"> </t>
        </is>
      </c>
      <c r="E18" s="857" t="n"/>
      <c r="F18" s="818" t="n"/>
      <c r="G18" s="818" t="n"/>
    </row>
    <row r="19" ht="25.5" customHeight="1">
      <c r="A19" s="943" t="n"/>
      <c r="B19" s="287" t="inlineStr">
        <is>
          <t xml:space="preserve">Check Heater wiring </t>
        </is>
      </c>
      <c r="C19" s="859" t="n"/>
      <c r="D19" s="287" t="inlineStr">
        <is>
          <t>All wiring free of plastic</t>
        </is>
      </c>
      <c r="E19" s="857" t="n"/>
      <c r="F19" s="818" t="n"/>
      <c r="G19" s="818" t="n"/>
    </row>
    <row r="20" ht="21" customHeight="1">
      <c r="A20" s="943" t="n"/>
      <c r="B20" s="474" t="n"/>
      <c r="C20" s="442" t="n"/>
      <c r="D20" s="287" t="inlineStr">
        <is>
          <t>All wiring shielded</t>
        </is>
      </c>
      <c r="E20" s="857" t="n"/>
      <c r="F20" s="818" t="n"/>
      <c r="G20" s="818" t="n"/>
    </row>
    <row r="21" ht="21.75" customHeight="1">
      <c r="A21" s="846" t="n"/>
      <c r="B21" s="287" t="inlineStr">
        <is>
          <t xml:space="preserve">Check Heaters </t>
        </is>
      </c>
      <c r="C21" s="857" t="n"/>
      <c r="D21" s="287" t="inlineStr">
        <is>
          <t>All Heaters in Working Order</t>
        </is>
      </c>
      <c r="E21" s="857" t="n"/>
      <c r="F21" s="818" t="n"/>
      <c r="G21" s="818" t="n"/>
    </row>
    <row r="22" ht="51.75" customHeight="1">
      <c r="A22" s="285" t="inlineStr">
        <is>
          <t xml:space="preserve">Hydraulic Pressure Gauges </t>
        </is>
      </c>
      <c r="B22" s="287" t="inlineStr">
        <is>
          <t xml:space="preserve">All Hydraulic Gauges </t>
        </is>
      </c>
      <c r="C22" s="857" t="n"/>
      <c r="D22" s="287" t="inlineStr">
        <is>
          <t xml:space="preserve"> Replace gauges for hydraulic units if line has been down longer than 30 days    </t>
        </is>
      </c>
      <c r="E22" s="857" t="n"/>
      <c r="F22" s="818" t="n"/>
      <c r="G22" s="818" t="n"/>
    </row>
    <row r="23" ht="18.75" customHeight="1">
      <c r="A23" s="281" t="inlineStr">
        <is>
          <t>Die</t>
        </is>
      </c>
      <c r="B23" s="287" t="inlineStr">
        <is>
          <t>Check Die face (underwater)</t>
        </is>
      </c>
      <c r="C23" s="857" t="n"/>
      <c r="D23" s="287" t="inlineStr">
        <is>
          <t>Little to no grooving, all tiles present</t>
        </is>
      </c>
      <c r="E23" s="857" t="n"/>
      <c r="F23" s="818" t="n"/>
      <c r="G23" s="818" t="n"/>
    </row>
    <row r="24" ht="17.25" customHeight="1">
      <c r="A24" s="283" t="n"/>
      <c r="B24" s="287" t="inlineStr">
        <is>
          <t xml:space="preserve">Check Heaters </t>
        </is>
      </c>
      <c r="C24" s="857" t="n"/>
      <c r="D24" s="287" t="inlineStr">
        <is>
          <t>All Heaters in Working Order</t>
        </is>
      </c>
      <c r="E24" s="857" t="n"/>
      <c r="F24" s="818" t="n"/>
      <c r="G24" s="818" t="n"/>
    </row>
    <row r="25" ht="19.5" customHeight="1">
      <c r="A25" s="283" t="n"/>
      <c r="B25" s="287" t="inlineStr">
        <is>
          <t xml:space="preserve">Check Line 7 Oil-heater </t>
        </is>
      </c>
      <c r="C25" s="857" t="n"/>
      <c r="D25" s="287" t="inlineStr">
        <is>
          <t>Oil level within sight-glass</t>
        </is>
      </c>
      <c r="E25" s="857" t="n"/>
      <c r="F25" s="818" t="n"/>
      <c r="G25" s="818" t="n"/>
    </row>
    <row r="26" ht="23.25" customHeight="1">
      <c r="A26" s="284" t="n"/>
      <c r="B26" s="287" t="inlineStr">
        <is>
          <t xml:space="preserve">Verify temp is within Set-point </t>
        </is>
      </c>
      <c r="C26" s="857" t="n"/>
      <c r="D26" s="287" t="inlineStr">
        <is>
          <t>temp with range (within 10 degrees)</t>
        </is>
      </c>
      <c r="E26" s="857" t="n"/>
      <c r="F26" s="818" t="n"/>
      <c r="G26" s="818" t="n"/>
    </row>
    <row r="27" ht="21" customHeight="1">
      <c r="A27" s="942" t="inlineStr">
        <is>
          <t>Strand Pelletizer</t>
        </is>
      </c>
      <c r="B27" s="287" t="inlineStr">
        <is>
          <t>1. Inspect Rotor</t>
        </is>
      </c>
      <c r="C27" s="857" t="n"/>
      <c r="D27" s="287" t="inlineStr">
        <is>
          <t>Rotor Sharp, no chipped blades</t>
        </is>
      </c>
      <c r="E27" s="857" t="n"/>
      <c r="F27" s="818" t="n"/>
      <c r="G27" s="818" t="n"/>
    </row>
    <row r="28" ht="20.25" customHeight="1">
      <c r="A28" s="943" t="n"/>
      <c r="B28" s="287" t="inlineStr">
        <is>
          <t>2. Inspect Upper Feed roll</t>
        </is>
      </c>
      <c r="C28" s="857" t="n"/>
      <c r="D28" s="287" t="inlineStr">
        <is>
          <t>Smooth/even surface</t>
        </is>
      </c>
      <c r="E28" s="857" t="n"/>
      <c r="F28" s="818" t="n"/>
      <c r="G28" s="818" t="n"/>
    </row>
    <row r="29" ht="19.5" customHeight="1">
      <c r="A29" s="943" t="n"/>
      <c r="B29" s="287" t="inlineStr">
        <is>
          <t>3. Inspect Lower Feed roll</t>
        </is>
      </c>
      <c r="C29" s="857" t="n"/>
      <c r="D29" s="287" t="inlineStr">
        <is>
          <t xml:space="preserve">Knurls are sharp and free of grooves </t>
        </is>
      </c>
      <c r="E29" s="857" t="n"/>
      <c r="F29" s="818" t="n"/>
      <c r="G29" s="818" t="n"/>
    </row>
    <row r="30" ht="21.75" customHeight="1">
      <c r="A30" s="943" t="n"/>
      <c r="B30" s="287" t="inlineStr">
        <is>
          <t>4. Inspect Bed knife</t>
        </is>
      </c>
      <c r="C30" s="857" t="n"/>
      <c r="D30" s="287" t="inlineStr">
        <is>
          <t>Sharp and even surface</t>
        </is>
      </c>
      <c r="E30" s="857" t="n"/>
      <c r="F30" s="818" t="n"/>
      <c r="G30" s="818" t="n"/>
    </row>
    <row r="31" ht="21" customHeight="1">
      <c r="A31" s="943" t="n"/>
      <c r="B31" s="944" t="inlineStr">
        <is>
          <t>List Replaced or Turned items 1-4</t>
        </is>
      </c>
      <c r="C31" s="857" t="n"/>
      <c r="D31" s="287" t="inlineStr">
        <is>
          <t>Comment: 1, 2, 3, and/or 4</t>
        </is>
      </c>
      <c r="E31" s="857" t="n"/>
      <c r="F31" s="286" t="n"/>
      <c r="G31" s="818" t="n"/>
    </row>
    <row r="32" ht="20.25" customHeight="1">
      <c r="A32" s="943" t="n"/>
      <c r="B32" s="944" t="inlineStr">
        <is>
          <t>Inspect Clearances</t>
        </is>
      </c>
      <c r="C32" s="859" t="n"/>
      <c r="D32" s="287" t="inlineStr">
        <is>
          <t>Bed knife clearance 0.0015 to 0.002”</t>
        </is>
      </c>
      <c r="E32" s="857" t="n"/>
      <c r="F32" s="818" t="n"/>
      <c r="G32" s="818" t="n"/>
    </row>
    <row r="33" ht="23.25" customHeight="1">
      <c r="A33" s="943" t="n"/>
      <c r="B33" s="854" t="n"/>
      <c r="C33" s="528" t="n"/>
      <c r="D33" s="287" t="inlineStr">
        <is>
          <t>Lower and upper feed rolls clearance 0.01”</t>
        </is>
      </c>
      <c r="E33" s="857" t="n"/>
      <c r="F33" s="818" t="n"/>
      <c r="G33" s="818" t="n"/>
    </row>
    <row r="34" ht="22.5" customHeight="1">
      <c r="A34" s="846" t="n"/>
      <c r="B34" s="474" t="n"/>
      <c r="C34" s="442" t="n"/>
      <c r="D34" s="287" t="inlineStr">
        <is>
          <t>Doctor blade and lower feed roll clearance 0.003”</t>
        </is>
      </c>
      <c r="E34" s="857" t="n"/>
      <c r="F34" s="818" t="n"/>
      <c r="G34" s="818" t="n"/>
    </row>
    <row r="35" ht="23.25" customHeight="1">
      <c r="A35" s="942" t="inlineStr">
        <is>
          <t>Underwater Pelletizer</t>
        </is>
      </c>
      <c r="B35" s="287" t="inlineStr">
        <is>
          <t>Check Alignment</t>
        </is>
      </c>
      <c r="C35" s="857" t="n"/>
      <c r="D35" s="287" t="inlineStr">
        <is>
          <t>Rolling in and out freely</t>
        </is>
      </c>
      <c r="E35" s="857" t="n"/>
      <c r="F35" s="818" t="n"/>
      <c r="G35" s="818" t="n"/>
    </row>
    <row r="36" ht="33" customHeight="1">
      <c r="A36" s="943" t="n"/>
      <c r="B36" s="945" t="inlineStr">
        <is>
          <t xml:space="preserve">Check Bearings </t>
        </is>
      </c>
      <c r="C36" s="859" t="n"/>
      <c r="D36" s="287" t="inlineStr">
        <is>
          <t>No vibration or noise. disengaged (no blade holder)</t>
        </is>
      </c>
      <c r="E36" s="857" t="n"/>
      <c r="F36" s="818" t="n"/>
      <c r="G36" s="818" t="n"/>
    </row>
    <row r="37" ht="21.75" customHeight="1">
      <c r="A37" s="846" t="n"/>
      <c r="B37" s="287" t="inlineStr">
        <is>
          <t>Check water drainage hole</t>
        </is>
      </c>
      <c r="C37" s="857" t="n"/>
      <c r="D37" s="287" t="inlineStr">
        <is>
          <t>Open and no Blockage</t>
        </is>
      </c>
      <c r="E37" s="857" t="n"/>
      <c r="F37" s="818" t="n"/>
      <c r="G37" s="818" t="n"/>
    </row>
    <row r="38" ht="20.25" customHeight="1">
      <c r="A38" s="287" t="inlineStr">
        <is>
          <t>Dryer</t>
        </is>
      </c>
      <c r="B38" s="946" t="inlineStr">
        <is>
          <t>Check Bearings</t>
        </is>
      </c>
      <c r="C38" s="442" t="n"/>
      <c r="D38" s="287" t="inlineStr">
        <is>
          <t>No vibration or noise</t>
        </is>
      </c>
      <c r="E38" s="857" t="n"/>
      <c r="F38" s="818" t="n"/>
      <c r="G38" s="818" t="n"/>
    </row>
    <row r="39" ht="20.25" customHeight="1">
      <c r="A39" s="287" t="n"/>
      <c r="B39" s="287" t="inlineStr">
        <is>
          <t>Safety straps attached to water bath</t>
        </is>
      </c>
      <c r="C39" s="857" t="n"/>
      <c r="D39" s="287" t="inlineStr">
        <is>
          <t>Properly attached and in good condition</t>
        </is>
      </c>
      <c r="E39" s="857" t="n"/>
      <c r="F39" s="818" t="n"/>
      <c r="G39" s="818" t="n"/>
    </row>
    <row r="40" ht="17.25" customHeight="1">
      <c r="A40" s="287" t="inlineStr">
        <is>
          <t>Classifier</t>
        </is>
      </c>
      <c r="B40" s="287" t="inlineStr">
        <is>
          <t>Check Belts</t>
        </is>
      </c>
      <c r="C40" s="857" t="n"/>
      <c r="D40" s="287" t="inlineStr">
        <is>
          <t>No noise during start</t>
        </is>
      </c>
      <c r="E40" s="857" t="n"/>
      <c r="F40" s="818" t="n"/>
      <c r="G40" s="818" t="n"/>
    </row>
    <row r="41" ht="23.25" customHeight="1">
      <c r="A41" s="287" t="inlineStr">
        <is>
          <t xml:space="preserve"> Blower</t>
        </is>
      </c>
      <c r="B41" s="287" t="inlineStr">
        <is>
          <t>Check Bearings</t>
        </is>
      </c>
      <c r="C41" s="857" t="n"/>
      <c r="D41" s="287" t="inlineStr">
        <is>
          <t>No vibration or noise</t>
        </is>
      </c>
      <c r="E41" s="857" t="n"/>
      <c r="F41" s="818" t="n"/>
      <c r="G41" s="818" t="n"/>
    </row>
    <row r="42" ht="17.25" customHeight="1">
      <c r="A42" s="942" t="inlineStr">
        <is>
          <t>Downstream Flex Hoses</t>
        </is>
      </c>
      <c r="B42" s="287" t="inlineStr">
        <is>
          <t>Surge to blend</t>
        </is>
      </c>
      <c r="C42" s="857" t="n"/>
      <c r="D42" s="287" t="inlineStr">
        <is>
          <t>No Tape/operational</t>
        </is>
      </c>
      <c r="E42" s="857" t="n"/>
      <c r="F42" s="818" t="n"/>
      <c r="G42" s="818" t="n"/>
    </row>
    <row r="43" ht="21" customHeight="1">
      <c r="A43" s="943" t="n"/>
      <c r="B43" s="945" t="inlineStr">
        <is>
          <t>Re-circulate hose</t>
        </is>
      </c>
      <c r="C43" s="859" t="n"/>
      <c r="D43" s="287" t="inlineStr">
        <is>
          <t>No Tape/operational</t>
        </is>
      </c>
      <c r="E43" s="857" t="n"/>
      <c r="F43" s="818" t="n"/>
      <c r="G43" s="818" t="n"/>
    </row>
    <row r="44" ht="20.25" customHeight="1">
      <c r="A44" s="846" t="n"/>
      <c r="B44" s="287" t="inlineStr">
        <is>
          <t>Outside adapter hose</t>
        </is>
      </c>
      <c r="C44" s="857" t="n"/>
      <c r="D44" s="287" t="inlineStr">
        <is>
          <t>No Tape</t>
        </is>
      </c>
      <c r="E44" s="857" t="n"/>
      <c r="F44" s="818" t="n"/>
      <c r="G44" s="818" t="n"/>
    </row>
    <row r="45" ht="26.25" customHeight="1">
      <c r="A45" s="832" t="inlineStr">
        <is>
          <t>Maintenance Tech</t>
        </is>
      </c>
      <c r="B45" s="857" t="n"/>
      <c r="C45" s="832" t="inlineStr">
        <is>
          <t>Date</t>
        </is>
      </c>
      <c r="F45" s="818" t="n"/>
      <c r="G45" s="818" t="n"/>
    </row>
    <row r="46" ht="18" customHeight="1">
      <c r="A46" s="834" t="n"/>
      <c r="B46" s="857" t="n"/>
      <c r="C46" s="834" t="n"/>
      <c r="F46" s="818" t="n"/>
      <c r="G46" s="818" t="n"/>
    </row>
    <row r="47" ht="20.25" customHeight="1">
      <c r="F47" s="818" t="n"/>
      <c r="G47" s="818" t="n"/>
    </row>
  </sheetData>
  <sheetProtection selectLockedCells="1" selectUnlockedCells="0" sheet="1" objects="1" insertRows="1" insertHyperlinks="1" autoFilter="1" scenarios="1" formatColumns="1" deleteColumns="1" insertColumns="1" pivotTables="1" deleteRows="1" formatCells="1" formatRows="1" sort="1"/>
  <mergeCells count="86">
    <mergeCell ref="A45:B45"/>
    <mergeCell ref="A46:B46"/>
    <mergeCell ref="B40:C40"/>
    <mergeCell ref="D40:E40"/>
    <mergeCell ref="B41:C41"/>
    <mergeCell ref="D41:E41"/>
    <mergeCell ref="A42:A44"/>
    <mergeCell ref="B42:C42"/>
    <mergeCell ref="D42:E42"/>
    <mergeCell ref="B43:C43"/>
    <mergeCell ref="D43:E43"/>
    <mergeCell ref="B44:C44"/>
    <mergeCell ref="B38:C38"/>
    <mergeCell ref="D38:E38"/>
    <mergeCell ref="B39:C39"/>
    <mergeCell ref="D39:E39"/>
    <mergeCell ref="D44:E44"/>
    <mergeCell ref="D32:E32"/>
    <mergeCell ref="D33:E33"/>
    <mergeCell ref="D34:E34"/>
    <mergeCell ref="B37:C37"/>
    <mergeCell ref="D37:E37"/>
    <mergeCell ref="A35:A37"/>
    <mergeCell ref="B35:C35"/>
    <mergeCell ref="D35:E35"/>
    <mergeCell ref="B36:C36"/>
    <mergeCell ref="D36:E36"/>
    <mergeCell ref="B25:C25"/>
    <mergeCell ref="D25:E25"/>
    <mergeCell ref="B26:C26"/>
    <mergeCell ref="D26:E26"/>
    <mergeCell ref="A27:A34"/>
    <mergeCell ref="B27:C27"/>
    <mergeCell ref="D27:E27"/>
    <mergeCell ref="B28:C28"/>
    <mergeCell ref="D28:E28"/>
    <mergeCell ref="B29:C29"/>
    <mergeCell ref="D29:E29"/>
    <mergeCell ref="B30:C30"/>
    <mergeCell ref="D30:E30"/>
    <mergeCell ref="B31:C31"/>
    <mergeCell ref="D31:E31"/>
    <mergeCell ref="B32:C34"/>
    <mergeCell ref="B22:C22"/>
    <mergeCell ref="D22:E22"/>
    <mergeCell ref="B23:C23"/>
    <mergeCell ref="D23:E23"/>
    <mergeCell ref="B24:C24"/>
    <mergeCell ref="D24:E24"/>
    <mergeCell ref="A16:A21"/>
    <mergeCell ref="B16:C17"/>
    <mergeCell ref="D16:E17"/>
    <mergeCell ref="F16:F17"/>
    <mergeCell ref="G16:G17"/>
    <mergeCell ref="B18:C18"/>
    <mergeCell ref="D18:E18"/>
    <mergeCell ref="B19:C20"/>
    <mergeCell ref="D19:E19"/>
    <mergeCell ref="D20:E20"/>
    <mergeCell ref="B21:C21"/>
    <mergeCell ref="D21:E21"/>
    <mergeCell ref="B13:C13"/>
    <mergeCell ref="D13:E13"/>
    <mergeCell ref="B14:C14"/>
    <mergeCell ref="D14:E14"/>
    <mergeCell ref="B15:C15"/>
    <mergeCell ref="D15:E15"/>
    <mergeCell ref="B10:C10"/>
    <mergeCell ref="D10:E10"/>
    <mergeCell ref="B11:C11"/>
    <mergeCell ref="D11:E11"/>
    <mergeCell ref="B12:C12"/>
    <mergeCell ref="D12:E12"/>
    <mergeCell ref="B7:C7"/>
    <mergeCell ref="D7:E7"/>
    <mergeCell ref="B8:C8"/>
    <mergeCell ref="D8:E8"/>
    <mergeCell ref="B9:C9"/>
    <mergeCell ref="D9:E9"/>
    <mergeCell ref="B6:C6"/>
    <mergeCell ref="D6:E6"/>
    <mergeCell ref="A1:A2"/>
    <mergeCell ref="B1:D1"/>
    <mergeCell ref="F1:G1"/>
    <mergeCell ref="D2:E2"/>
    <mergeCell ref="F2:G2"/>
  </mergeCells>
  <pageMargins left="0.7" right="0.7" top="0.75" bottom="0.75" header="0.3" footer="0.3"/>
  <pageSetup orientation="portrait" scale="64"/>
</worksheet>
</file>

<file path=xl/worksheets/sheet18.xml><?xml version="1.0" encoding="utf-8"?>
<worksheet xmlns="http://schemas.openxmlformats.org/spreadsheetml/2006/main">
  <sheetPr codeName="Sheet22">
    <outlinePr summaryBelow="1" summaryRight="1"/>
    <pageSetUpPr/>
  </sheetPr>
  <dimension ref="A1:AR42"/>
  <sheetViews>
    <sheetView showGridLines="0" zoomScaleNormal="100" zoomScaleSheetLayoutView="100" workbookViewId="0">
      <selection activeCell="AA28" sqref="AA28:AR42"/>
    </sheetView>
  </sheetViews>
  <sheetFormatPr baseColWidth="8" defaultColWidth="3.81640625" defaultRowHeight="12" customHeight="1"/>
  <cols>
    <col width="4.54296875" customWidth="1" style="333" min="1" max="1"/>
    <col width="3.81640625" customWidth="1" style="333" min="2" max="2"/>
    <col width="4.1796875" bestFit="1" customWidth="1" style="333" min="3" max="3"/>
    <col width="5" bestFit="1" customWidth="1" style="333" min="4" max="4"/>
    <col width="5.7265625" bestFit="1" customWidth="1" style="333" min="5" max="5"/>
    <col width="5" bestFit="1" customWidth="1" style="333" min="6" max="6"/>
    <col width="3.81640625" customWidth="1" style="333" min="7" max="20"/>
    <col width="6.7265625" bestFit="1" customWidth="1" style="333" min="21" max="21"/>
    <col width="3.81640625" customWidth="1" style="333" min="22" max="22"/>
    <col width="1.26953125" customWidth="1" style="333" min="23" max="23"/>
    <col width="7" customWidth="1" style="333" min="24" max="24"/>
    <col width="3.81640625" customWidth="1" style="333" min="25" max="25"/>
    <col width="8.54296875" bestFit="1" customWidth="1" style="333" min="26" max="26"/>
    <col width="3.81640625" customWidth="1" style="333" min="27" max="27"/>
    <col width="1.81640625" customWidth="1" style="333" min="28" max="28"/>
    <col width="3.81640625" customWidth="1" style="333" min="29" max="29"/>
    <col width="4.54296875" bestFit="1" customWidth="1" style="333" min="30" max="30"/>
    <col width="2.54296875" customWidth="1" style="333" min="31" max="31"/>
    <col width="3.81640625" customWidth="1" style="333" min="32" max="33"/>
    <col width="2.1796875" customWidth="1" style="333" min="34" max="34"/>
    <col width="4.1796875" bestFit="1" customWidth="1" style="333" min="35" max="35"/>
    <col width="3.81640625" customWidth="1" style="333" min="36" max="37"/>
    <col width="2.26953125" customWidth="1" style="333" min="38" max="38"/>
    <col width="2.453125" customWidth="1" style="333" min="39" max="39"/>
    <col width="3.81640625" customWidth="1" style="333" min="40" max="40"/>
    <col width="3.1796875" customWidth="1" style="333" min="41" max="41"/>
    <col width="3.81640625" customWidth="1" style="333" min="42" max="43"/>
    <col width="4" customWidth="1" style="333" min="44" max="44"/>
    <col width="3.81640625" customWidth="1" style="333" min="45" max="16384"/>
  </cols>
  <sheetData>
    <row r="1" ht="14" customHeight="1">
      <c r="A1" s="397" t="inlineStr">
        <is>
          <t>PARAMETER SPECIFICATION SHEET</t>
        </is>
      </c>
      <c r="B1" s="351" t="n"/>
      <c r="C1" s="351" t="n"/>
      <c r="D1" s="351" t="n"/>
      <c r="E1" s="351" t="n"/>
      <c r="F1" s="351" t="n"/>
      <c r="G1" s="351" t="n"/>
      <c r="H1" s="351" t="n"/>
      <c r="I1" s="352" t="n"/>
      <c r="J1" s="353" t="n"/>
      <c r="K1" s="396" t="inlineStr">
        <is>
          <t>FRM103</t>
        </is>
      </c>
      <c r="L1" s="351" t="n"/>
      <c r="M1" s="351" t="n"/>
      <c r="N1" s="352" t="n"/>
      <c r="O1" s="353" t="n"/>
      <c r="P1" s="406" t="inlineStr">
        <is>
          <t>Revision Level:</t>
        </is>
      </c>
      <c r="Q1" s="406" t="n"/>
      <c r="R1" s="351" t="n"/>
      <c r="S1" s="351" t="n"/>
      <c r="T1" s="395" t="n">
        <v>10</v>
      </c>
      <c r="U1" s="407" t="inlineStr">
        <is>
          <t>Issue Date:</t>
        </is>
      </c>
      <c r="V1" s="351" t="n"/>
      <c r="W1" s="351" t="n"/>
      <c r="X1" s="394" t="inlineStr">
        <is>
          <t>1/9/2023</t>
        </is>
      </c>
      <c r="Y1" s="351" t="n"/>
      <c r="Z1" s="351" t="n"/>
      <c r="AA1" s="351" t="n"/>
      <c r="AB1" s="408" t="inlineStr">
        <is>
          <t>Process Step #5</t>
        </is>
      </c>
      <c r="AC1" s="335" t="n"/>
      <c r="AD1" s="335" t="n"/>
      <c r="AE1" s="335" t="n"/>
      <c r="AF1" s="335" t="n"/>
      <c r="AG1" s="335" t="n"/>
      <c r="AH1" s="354" t="n"/>
      <c r="AI1" s="393" t="inlineStr">
        <is>
          <t>Confidentional Information</t>
        </is>
      </c>
      <c r="AJ1" s="335" t="n"/>
      <c r="AK1" s="335" t="n"/>
      <c r="AL1" s="335" t="n"/>
      <c r="AM1" s="335" t="n"/>
      <c r="AN1" s="335" t="n"/>
      <c r="AO1" s="335" t="n"/>
      <c r="AP1" s="457" t="n"/>
      <c r="AQ1" s="458" t="n"/>
      <c r="AR1" s="459" t="n"/>
    </row>
    <row r="2" ht="14" customHeight="1">
      <c r="A2" s="403" t="inlineStr">
        <is>
          <t>Reviewed by:</t>
        </is>
      </c>
      <c r="B2" s="342" t="n"/>
      <c r="C2" s="342" t="n"/>
      <c r="D2" s="404" t="inlineStr">
        <is>
          <t>Lynn Newton</t>
        </is>
      </c>
      <c r="E2" s="342" t="n"/>
      <c r="F2" s="342" t="n"/>
      <c r="G2" s="350" t="n"/>
      <c r="H2" s="341" t="n"/>
      <c r="I2" s="342" t="n"/>
      <c r="J2" s="342" t="n"/>
      <c r="K2" s="405" t="inlineStr">
        <is>
          <t>Approved by:</t>
        </is>
      </c>
      <c r="L2" s="404" t="inlineStr">
        <is>
          <t>D. Beckman</t>
        </is>
      </c>
      <c r="M2" s="342" t="n"/>
      <c r="N2" s="343" t="n"/>
      <c r="O2" s="341" t="n"/>
      <c r="P2" s="404" t="inlineStr">
        <is>
          <t>Reference:</t>
        </is>
      </c>
      <c r="Q2" s="404" t="n"/>
      <c r="R2" s="342" t="n"/>
      <c r="S2" s="391" t="inlineStr">
        <is>
          <t>Compounding Operations PRO012</t>
        </is>
      </c>
      <c r="T2" s="342" t="n"/>
      <c r="U2" s="342" t="n"/>
      <c r="V2" s="342" t="n"/>
      <c r="W2" s="342" t="n"/>
      <c r="X2" s="342" t="n"/>
      <c r="Y2" s="342" t="n"/>
      <c r="Z2" s="342" t="n"/>
      <c r="AA2" s="343" t="n"/>
      <c r="AB2" s="392" t="inlineStr">
        <is>
          <t>"Compounding &amp; Pelletizing"</t>
        </is>
      </c>
      <c r="AC2" s="348" t="n"/>
      <c r="AD2" s="348" t="n"/>
      <c r="AE2" s="348" t="n"/>
      <c r="AF2" s="348" t="n"/>
      <c r="AG2" s="348" t="n"/>
      <c r="AH2" s="349" t="n"/>
      <c r="AI2" s="347" t="n"/>
      <c r="AJ2" s="348" t="n"/>
      <c r="AK2" s="348" t="n"/>
      <c r="AL2" s="348" t="n"/>
      <c r="AM2" s="348" t="n"/>
      <c r="AN2" s="348" t="n"/>
      <c r="AO2" s="348" t="n"/>
      <c r="AP2" s="454">
        <f>NOW()</f>
        <v/>
      </c>
      <c r="AQ2" s="455" t="n"/>
      <c r="AR2" s="456" t="n"/>
    </row>
    <row r="3" ht="12" customHeight="1">
      <c r="A3" s="402" t="inlineStr">
        <is>
          <t>Product Type:</t>
        </is>
      </c>
      <c r="B3" s="345" t="n"/>
      <c r="C3" s="345" t="n"/>
      <c r="D3" s="390" t="inlineStr">
        <is>
          <t>DYNAFLOW 5170 TESLA BLACK</t>
        </is>
      </c>
      <c r="E3" s="345" t="n"/>
      <c r="F3" s="345" t="n"/>
      <c r="G3" s="345" t="n"/>
      <c r="H3" s="345" t="n"/>
      <c r="I3" s="345" t="n"/>
      <c r="J3" s="345" t="n"/>
      <c r="K3" s="345" t="n"/>
      <c r="L3" s="345" t="n"/>
      <c r="M3" s="345" t="n"/>
      <c r="N3" s="346" t="n"/>
      <c r="O3" s="344" t="n"/>
      <c r="P3" s="345" t="n"/>
      <c r="Q3" s="345" t="n"/>
      <c r="R3" s="400" t="inlineStr">
        <is>
          <t>Production Line:</t>
        </is>
      </c>
      <c r="S3" s="390" t="n">
        <v>6</v>
      </c>
      <c r="T3" s="345" t="n"/>
      <c r="U3" s="346" t="n"/>
      <c r="V3" s="344" t="n"/>
      <c r="W3" s="345" t="n"/>
      <c r="X3" s="345" t="n"/>
      <c r="Y3" s="400" t="inlineStr">
        <is>
          <t>Amt Scheduled:</t>
        </is>
      </c>
      <c r="Z3" s="947" t="n">
        <v>280500</v>
      </c>
      <c r="AA3" s="345" t="n"/>
      <c r="AB3" s="345" t="n"/>
      <c r="AC3" s="345" t="n"/>
      <c r="AD3" s="345" t="n"/>
      <c r="AE3" s="346" t="n"/>
      <c r="AF3" s="344" t="n"/>
      <c r="AG3" s="345" t="n"/>
      <c r="AH3" s="400" t="inlineStr">
        <is>
          <t>Prepared By:</t>
        </is>
      </c>
      <c r="AI3" s="390" t="inlineStr">
        <is>
          <t>UserName</t>
        </is>
      </c>
      <c r="AJ3" s="345" t="n"/>
      <c r="AK3" s="345" t="n"/>
      <c r="AL3" s="345" t="n"/>
      <c r="AM3" s="345" t="n"/>
      <c r="AN3" s="400" t="inlineStr">
        <is>
          <t>Checked By:</t>
        </is>
      </c>
      <c r="AO3" s="390" t="inlineStr">
        <is>
          <t>UserName</t>
        </is>
      </c>
      <c r="AP3" s="345" t="n"/>
      <c r="AQ3" s="345" t="n"/>
      <c r="AR3" s="357" t="n"/>
    </row>
    <row r="4" ht="12" customHeight="1" thickBot="1">
      <c r="A4" s="420" t="inlineStr">
        <is>
          <t>Description:</t>
        </is>
      </c>
      <c r="B4" s="339" t="n"/>
      <c r="C4" s="339" t="n"/>
      <c r="D4" s="374" t="inlineStr">
        <is>
          <t>DYNAFLOW 5170 TESLA BLACK</t>
        </is>
      </c>
      <c r="E4" s="339" t="n"/>
      <c r="F4" s="339" t="n"/>
      <c r="G4" s="339" t="n"/>
      <c r="H4" s="339" t="n"/>
      <c r="I4" s="339" t="n"/>
      <c r="J4" s="339" t="n"/>
      <c r="K4" s="339" t="n"/>
      <c r="L4" s="339" t="n"/>
      <c r="M4" s="339" t="n"/>
      <c r="N4" s="358" t="n"/>
      <c r="O4" s="359" t="n"/>
      <c r="P4" s="339" t="n"/>
      <c r="Q4" s="339" t="n"/>
      <c r="R4" s="401" t="inlineStr">
        <is>
          <t>Job Number:</t>
        </is>
      </c>
      <c r="S4" s="374" t="inlineStr">
        <is>
          <t>23A100MC</t>
        </is>
      </c>
      <c r="T4" s="339" t="n"/>
      <c r="U4" s="358" t="n"/>
      <c r="V4" s="359" t="n"/>
      <c r="W4" s="339" t="n"/>
      <c r="X4" s="339" t="n"/>
      <c r="Y4" s="401" t="inlineStr">
        <is>
          <t>Lot Number:</t>
        </is>
      </c>
      <c r="Z4" s="374" t="inlineStr">
        <is>
          <t>23AMY100MC</t>
        </is>
      </c>
      <c r="AA4" s="339" t="n"/>
      <c r="AB4" s="339" t="n"/>
      <c r="AC4" s="339" t="n"/>
      <c r="AD4" s="339" t="n"/>
      <c r="AE4" s="358" t="n"/>
      <c r="AF4" s="359" t="n"/>
      <c r="AG4" s="339" t="n"/>
      <c r="AH4" s="339" t="n"/>
      <c r="AI4" s="339" t="n"/>
      <c r="AJ4" s="339" t="n"/>
      <c r="AK4" s="339" t="n"/>
      <c r="AL4" s="339" t="n"/>
      <c r="AM4" s="339" t="n"/>
      <c r="AN4" s="339" t="n"/>
      <c r="AO4" s="339" t="n"/>
      <c r="AP4" s="339" t="n"/>
      <c r="AQ4" s="339" t="n"/>
      <c r="AR4" s="340" t="n"/>
    </row>
    <row r="5" ht="12" customHeight="1">
      <c r="A5" s="334" t="n"/>
      <c r="B5" s="335" t="n"/>
      <c r="C5" s="335" t="n"/>
      <c r="D5" s="369" t="inlineStr">
        <is>
          <t>TEMPERATURES</t>
        </is>
      </c>
      <c r="E5" s="335" t="n"/>
      <c r="F5" s="335" t="n"/>
      <c r="G5" s="335" t="n"/>
      <c r="H5" s="335" t="n"/>
      <c r="I5" s="335" t="n"/>
      <c r="J5" s="335" t="n"/>
      <c r="K5" s="335" t="n"/>
      <c r="L5" s="334" t="n"/>
      <c r="M5" s="335" t="n"/>
      <c r="N5" s="335" t="n"/>
      <c r="O5" s="335" t="n"/>
      <c r="P5" s="335" t="n"/>
      <c r="Q5" s="335" t="n"/>
      <c r="R5" s="335" t="n"/>
      <c r="S5" s="335" t="n"/>
      <c r="T5" s="335" t="n"/>
      <c r="U5" s="335" t="n"/>
      <c r="V5" s="361" t="n"/>
      <c r="W5" s="363" t="n"/>
      <c r="AR5" s="337" t="n"/>
    </row>
    <row r="6" ht="12" customHeight="1">
      <c r="A6" s="399" t="inlineStr">
        <is>
          <t>Acceptable Temperature Range = SetPt ± 50</t>
        </is>
      </c>
      <c r="B6" s="348" t="n"/>
      <c r="C6" s="348" t="n"/>
      <c r="D6" s="348" t="n"/>
      <c r="E6" s="348" t="n"/>
      <c r="F6" s="348" t="n"/>
      <c r="G6" s="348" t="n"/>
      <c r="H6" s="348" t="n"/>
      <c r="I6" s="348" t="n"/>
      <c r="J6" s="348" t="n"/>
      <c r="K6" s="348" t="n"/>
      <c r="L6" s="360" t="n"/>
      <c r="M6" s="348" t="n"/>
      <c r="N6" s="398" t="inlineStr">
        <is>
          <t>FEEDER SETTINGS</t>
        </is>
      </c>
      <c r="O6" s="348" t="n"/>
      <c r="P6" s="348" t="n"/>
      <c r="Q6" s="348" t="n"/>
      <c r="R6" s="348" t="n"/>
      <c r="S6" s="348" t="n"/>
      <c r="T6" s="348" t="n"/>
      <c r="U6" s="348" t="n"/>
      <c r="V6" s="355" t="n"/>
      <c r="W6" s="365" t="n"/>
      <c r="AR6" s="337" t="n"/>
    </row>
    <row r="7" ht="12" customHeight="1">
      <c r="A7" s="356" t="n"/>
      <c r="B7" s="345" t="n"/>
      <c r="C7" s="345" t="n"/>
      <c r="D7" s="345" t="n"/>
      <c r="E7" s="357" t="n"/>
      <c r="L7" s="336" t="n"/>
      <c r="V7" s="337" t="n"/>
      <c r="W7" s="356" t="n"/>
      <c r="X7" s="451" t="inlineStr">
        <is>
          <t>Feeder</t>
        </is>
      </c>
      <c r="Y7" s="345" t="n"/>
      <c r="Z7" s="357" t="n"/>
      <c r="AA7" s="356" t="n"/>
      <c r="AB7" s="357" t="n"/>
      <c r="AC7" s="356" t="inlineStr">
        <is>
          <t>Calibration</t>
        </is>
      </c>
      <c r="AD7" s="345" t="n"/>
      <c r="AE7" s="357" t="n"/>
      <c r="AF7" s="356" t="n"/>
      <c r="AG7" s="345" t="inlineStr">
        <is>
          <t>Refill</t>
        </is>
      </c>
      <c r="AH7" s="345" t="n"/>
      <c r="AI7" s="357" t="n"/>
      <c r="AJ7" s="356" t="inlineStr">
        <is>
          <t>Actual</t>
        </is>
      </c>
      <c r="AK7" s="345" t="n"/>
      <c r="AL7" s="345" t="n"/>
      <c r="AM7" s="357" t="n"/>
      <c r="AN7" s="356" t="inlineStr">
        <is>
          <t>Drop Test (SetPt +/ 5%)</t>
        </is>
      </c>
      <c r="AO7" s="345" t="n"/>
      <c r="AP7" s="345" t="n"/>
      <c r="AQ7" s="345" t="n"/>
      <c r="AR7" s="357" t="n"/>
    </row>
    <row r="8" ht="12" customHeight="1" thickBot="1">
      <c r="A8" s="371" t="inlineStr">
        <is>
          <t>Zone</t>
        </is>
      </c>
      <c r="B8" s="339" t="n"/>
      <c r="C8" s="374" t="n"/>
      <c r="D8" s="374" t="n"/>
      <c r="E8" s="463" t="inlineStr">
        <is>
          <t>SetPt</t>
        </is>
      </c>
      <c r="F8" s="339" t="n"/>
      <c r="G8" s="374" t="inlineStr">
        <is>
          <t>Change</t>
        </is>
      </c>
      <c r="H8" s="339" t="n"/>
      <c r="I8" s="339" t="n"/>
      <c r="J8" s="339" t="n"/>
      <c r="K8" s="339" t="n"/>
      <c r="L8" s="338" t="n"/>
      <c r="M8" s="339" t="n"/>
      <c r="N8" s="339" t="n"/>
      <c r="O8" s="374" t="inlineStr">
        <is>
          <t>Material</t>
        </is>
      </c>
      <c r="P8" s="339" t="n"/>
      <c r="Q8" s="339" t="n"/>
      <c r="R8" s="339" t="n"/>
      <c r="S8" s="339" t="n"/>
      <c r="T8" s="339" t="n"/>
      <c r="U8" s="374" t="inlineStr">
        <is>
          <t>%</t>
        </is>
      </c>
      <c r="V8" s="340" t="n"/>
      <c r="W8" s="338" t="n"/>
      <c r="X8" s="464" t="inlineStr">
        <is>
          <t>Agitator</t>
        </is>
      </c>
      <c r="Y8" s="359" t="inlineStr">
        <is>
          <t>Screw/Tube mm</t>
        </is>
      </c>
      <c r="Z8" s="339" t="n"/>
      <c r="AA8" s="338" t="inlineStr">
        <is>
          <t>Switch</t>
        </is>
      </c>
      <c r="AB8" s="340" t="n"/>
      <c r="AC8" s="338" t="inlineStr">
        <is>
          <t>Drive Comm</t>
        </is>
      </c>
      <c r="AD8" s="339" t="n"/>
      <c r="AE8" s="340" t="n"/>
      <c r="AF8" s="338" t="n"/>
      <c r="AG8" s="339" t="inlineStr">
        <is>
          <t>Min/Max</t>
        </is>
      </c>
      <c r="AH8" s="339" t="n"/>
      <c r="AI8" s="340" t="n"/>
      <c r="AJ8" s="338" t="inlineStr">
        <is>
          <t>Drive Comm</t>
        </is>
      </c>
      <c r="AK8" s="339" t="n"/>
      <c r="AL8" s="339" t="n"/>
      <c r="AM8" s="340" t="n"/>
      <c r="AN8" s="338" t="inlineStr">
        <is>
          <t>Set Point</t>
        </is>
      </c>
      <c r="AO8" s="339" t="n"/>
      <c r="AP8" s="340" t="n"/>
      <c r="AQ8" s="339" t="inlineStr">
        <is>
          <t>Actual</t>
        </is>
      </c>
      <c r="AR8" s="340" t="n"/>
    </row>
    <row r="9" ht="12" customHeight="1">
      <c r="A9" s="465" t="inlineStr">
        <is>
          <t>Mixer Feed Hopper</t>
        </is>
      </c>
      <c r="B9" s="365" t="n"/>
      <c r="C9" s="365" t="n"/>
      <c r="D9" s="365" t="n"/>
      <c r="E9" s="466" t="n">
        <v>250</v>
      </c>
      <c r="F9" s="365" t="n"/>
      <c r="G9" s="365" t="n"/>
      <c r="H9" s="365" t="n"/>
      <c r="I9" s="365" t="n"/>
      <c r="J9" s="365" t="n"/>
      <c r="K9" s="365" t="n"/>
      <c r="L9" s="367" t="inlineStr">
        <is>
          <t>F1</t>
        </is>
      </c>
      <c r="M9" s="368" t="n"/>
      <c r="N9" s="367" t="inlineStr">
        <is>
          <t>JETFIL 625C/BT2202C</t>
        </is>
      </c>
      <c r="O9" s="369" t="n"/>
      <c r="P9" s="369" t="n"/>
      <c r="Q9" s="369" t="n"/>
      <c r="R9" s="369" t="n"/>
      <c r="S9" s="368" t="n"/>
      <c r="T9" s="370" t="n"/>
      <c r="U9" s="948" t="n">
        <v>11</v>
      </c>
      <c r="V9" s="368" t="n"/>
      <c r="W9" s="417" t="n"/>
      <c r="X9" s="467" t="b">
        <v>1</v>
      </c>
      <c r="Y9" s="418" t="n"/>
      <c r="Z9" s="369" t="inlineStr">
        <is>
          <t>80/80</t>
        </is>
      </c>
      <c r="AA9" s="370" t="inlineStr">
        <is>
          <t>N/A</t>
        </is>
      </c>
      <c r="AB9" s="368" t="n"/>
      <c r="AC9" s="370" t="n"/>
      <c r="AD9" s="411" t="n">
        <v>0.1</v>
      </c>
      <c r="AE9" s="368" t="n"/>
      <c r="AF9" s="370" t="n"/>
      <c r="AG9" s="369" t="inlineStr">
        <is>
          <t>75/150</t>
        </is>
      </c>
      <c r="AH9" s="369" t="n"/>
      <c r="AI9" s="368" t="n"/>
      <c r="AJ9" s="370" t="n"/>
      <c r="AK9" s="369" t="n"/>
      <c r="AL9" s="369" t="n"/>
      <c r="AM9" s="368" t="n"/>
      <c r="AN9" s="370" t="n"/>
      <c r="AO9" s="369" t="n"/>
      <c r="AP9" s="368" t="n"/>
      <c r="AQ9" s="370" t="n"/>
      <c r="AR9" s="368" t="n"/>
    </row>
    <row r="10" ht="12" customHeight="1" thickBot="1">
      <c r="A10" s="465" t="inlineStr">
        <is>
          <t>Mixer Chamber Body</t>
        </is>
      </c>
      <c r="B10" s="365" t="n"/>
      <c r="C10" s="365" t="n"/>
      <c r="D10" s="365" t="n"/>
      <c r="E10" s="466" t="n">
        <v>450</v>
      </c>
      <c r="F10" s="365" t="n"/>
      <c r="G10" s="365" t="n"/>
      <c r="H10" s="365" t="n"/>
      <c r="I10" s="365" t="n"/>
      <c r="J10" s="365" t="n"/>
      <c r="K10" s="365" t="n"/>
      <c r="L10" s="371" t="n"/>
      <c r="M10" s="372" t="n"/>
      <c r="N10" s="373" t="n"/>
      <c r="O10" s="374" t="n"/>
      <c r="P10" s="374" t="n"/>
      <c r="Q10" s="374" t="n"/>
      <c r="R10" s="374" t="n"/>
      <c r="S10" s="372" t="n"/>
      <c r="T10" s="371" t="n"/>
      <c r="U10" s="949" t="n"/>
      <c r="V10" s="372" t="n"/>
      <c r="W10" s="371" t="n"/>
      <c r="X10" s="464" t="n"/>
      <c r="Y10" s="419" t="n"/>
      <c r="Z10" s="374" t="n"/>
      <c r="AA10" s="371" t="n"/>
      <c r="AB10" s="372" t="n"/>
      <c r="AC10" s="371" t="n"/>
      <c r="AD10" s="412" t="n"/>
      <c r="AE10" s="372" t="n"/>
      <c r="AF10" s="371" t="n"/>
      <c r="AG10" s="374" t="n"/>
      <c r="AH10" s="374" t="n"/>
      <c r="AI10" s="372" t="n"/>
      <c r="AJ10" s="371" t="n"/>
      <c r="AK10" s="374" t="n"/>
      <c r="AL10" s="374" t="n"/>
      <c r="AM10" s="372" t="n"/>
      <c r="AN10" s="371" t="n"/>
      <c r="AO10" s="374" t="n"/>
      <c r="AP10" s="372" t="n"/>
      <c r="AQ10" s="371" t="n"/>
      <c r="AR10" s="372" t="n"/>
    </row>
    <row r="11" ht="12" customHeight="1">
      <c r="A11" s="468" t="inlineStr">
        <is>
          <t>Orifice</t>
        </is>
      </c>
      <c r="B11" s="376" t="n"/>
      <c r="C11" s="365" t="n"/>
      <c r="D11" s="365" t="n"/>
      <c r="E11" s="469" t="n">
        <v>450</v>
      </c>
      <c r="F11" s="378" t="n"/>
      <c r="G11" s="378" t="n"/>
      <c r="H11" s="378" t="n"/>
      <c r="I11" s="378" t="n"/>
      <c r="J11" s="378" t="n"/>
      <c r="K11" s="378" t="n"/>
      <c r="L11" s="379" t="inlineStr">
        <is>
          <t>F2</t>
        </is>
      </c>
      <c r="M11" s="380" t="n"/>
      <c r="N11" s="367" t="inlineStr">
        <is>
          <t>JETFIL 625C/BT2202C</t>
        </is>
      </c>
      <c r="O11" s="381" t="n"/>
      <c r="P11" s="381" t="n"/>
      <c r="Q11" s="381" t="n"/>
      <c r="R11" s="369" t="n"/>
      <c r="S11" s="368" t="n"/>
      <c r="T11" s="370" t="n"/>
      <c r="U11" s="948" t="n">
        <v>11</v>
      </c>
      <c r="V11" s="368" t="n"/>
      <c r="W11" s="417" t="n"/>
      <c r="X11" s="467" t="b">
        <v>1</v>
      </c>
      <c r="Y11" s="418" t="n"/>
      <c r="Z11" s="369" t="inlineStr">
        <is>
          <t>80/80</t>
        </is>
      </c>
      <c r="AA11" s="370" t="inlineStr">
        <is>
          <t>H</t>
        </is>
      </c>
      <c r="AB11" s="368" t="n"/>
      <c r="AC11" s="370" t="n"/>
      <c r="AD11" s="411" t="n">
        <v>0.1</v>
      </c>
      <c r="AE11" s="368" t="n"/>
      <c r="AF11" s="370" t="n"/>
      <c r="AG11" s="369" t="inlineStr">
        <is>
          <t>50/100</t>
        </is>
      </c>
      <c r="AH11" s="369" t="n"/>
      <c r="AI11" s="368" t="n"/>
      <c r="AJ11" s="370" t="n"/>
      <c r="AK11" s="369" t="n"/>
      <c r="AL11" s="369" t="n"/>
      <c r="AM11" s="368" t="n"/>
      <c r="AN11" s="370" t="n"/>
      <c r="AO11" s="369" t="n"/>
      <c r="AP11" s="368" t="n"/>
      <c r="AQ11" s="370" t="n"/>
      <c r="AR11" s="368" t="n"/>
    </row>
    <row r="12" ht="12" customHeight="1" thickBot="1">
      <c r="A12" s="468" t="inlineStr">
        <is>
          <t>Extruder  Rear</t>
        </is>
      </c>
      <c r="B12" s="376" t="n"/>
      <c r="C12" s="365" t="n"/>
      <c r="D12" s="365" t="n"/>
      <c r="E12" s="469" t="n">
        <v>400</v>
      </c>
      <c r="F12" s="378" t="n"/>
      <c r="G12" s="378" t="n"/>
      <c r="H12" s="378" t="n"/>
      <c r="I12" s="378" t="n"/>
      <c r="J12" s="378" t="n"/>
      <c r="K12" s="378" t="n"/>
      <c r="L12" s="382" t="n"/>
      <c r="M12" s="383" t="n"/>
      <c r="N12" s="384" t="n"/>
      <c r="O12" s="385" t="n"/>
      <c r="P12" s="385" t="n"/>
      <c r="Q12" s="385" t="n"/>
      <c r="R12" s="374" t="n"/>
      <c r="S12" s="372" t="n"/>
      <c r="T12" s="371" t="n"/>
      <c r="U12" s="949" t="n"/>
      <c r="V12" s="372" t="n"/>
      <c r="W12" s="371" t="n"/>
      <c r="X12" s="464" t="n"/>
      <c r="Y12" s="419" t="n"/>
      <c r="Z12" s="374" t="n"/>
      <c r="AA12" s="371" t="n"/>
      <c r="AB12" s="372" t="n"/>
      <c r="AC12" s="371" t="n"/>
      <c r="AD12" s="412" t="n"/>
      <c r="AE12" s="372" t="n"/>
      <c r="AF12" s="371" t="n"/>
      <c r="AG12" s="374" t="n"/>
      <c r="AH12" s="374" t="n"/>
      <c r="AI12" s="372" t="n"/>
      <c r="AJ12" s="371" t="n"/>
      <c r="AK12" s="374" t="n"/>
      <c r="AL12" s="374" t="n"/>
      <c r="AM12" s="372" t="n"/>
      <c r="AN12" s="371" t="n"/>
      <c r="AO12" s="374" t="n"/>
      <c r="AP12" s="372" t="n"/>
      <c r="AQ12" s="371" t="n"/>
      <c r="AR12" s="372" t="n"/>
    </row>
    <row r="13" ht="12" customHeight="1">
      <c r="A13" s="468" t="inlineStr">
        <is>
          <t>Extruder  Vent</t>
        </is>
      </c>
      <c r="B13" s="365" t="n"/>
      <c r="C13" s="365" t="n"/>
      <c r="D13" s="365" t="n"/>
      <c r="E13" s="466" t="n">
        <v>300</v>
      </c>
      <c r="F13" s="365" t="n"/>
      <c r="G13" s="365" t="n"/>
      <c r="H13" s="365" t="n"/>
      <c r="I13" s="365" t="n"/>
      <c r="J13" s="365" t="n"/>
      <c r="K13" s="365" t="n"/>
      <c r="L13" s="367" t="inlineStr">
        <is>
          <t>F3</t>
        </is>
      </c>
      <c r="M13" s="368" t="n"/>
      <c r="N13" s="367" t="inlineStr">
        <is>
          <t>JETFIL 625C/BT2202C</t>
        </is>
      </c>
      <c r="O13" s="369" t="n"/>
      <c r="P13" s="369" t="n"/>
      <c r="Q13" s="369" t="n"/>
      <c r="R13" s="369" t="n"/>
      <c r="S13" s="368" t="n"/>
      <c r="T13" s="370" t="n"/>
      <c r="U13" s="948" t="n">
        <v>11</v>
      </c>
      <c r="V13" s="368" t="n"/>
      <c r="W13" s="417" t="n"/>
      <c r="X13" s="467" t="b">
        <v>1</v>
      </c>
      <c r="Y13" s="418" t="n"/>
      <c r="Z13" s="369" t="inlineStr">
        <is>
          <t>80/80</t>
        </is>
      </c>
      <c r="AA13" s="370" t="inlineStr">
        <is>
          <t>H</t>
        </is>
      </c>
      <c r="AB13" s="368" t="n"/>
      <c r="AC13" s="370" t="n"/>
      <c r="AD13" s="411" t="n">
        <v>0.1</v>
      </c>
      <c r="AE13" s="368" t="n"/>
      <c r="AF13" s="370" t="n"/>
      <c r="AG13" s="369" t="inlineStr">
        <is>
          <t>75/150</t>
        </is>
      </c>
      <c r="AH13" s="369" t="n"/>
      <c r="AI13" s="368" t="n"/>
      <c r="AJ13" s="370" t="n"/>
      <c r="AK13" s="369" t="n"/>
      <c r="AL13" s="369" t="n"/>
      <c r="AM13" s="368" t="n"/>
      <c r="AN13" s="370" t="n"/>
      <c r="AO13" s="369" t="n"/>
      <c r="AP13" s="368" t="n"/>
      <c r="AQ13" s="370" t="n"/>
      <c r="AR13" s="368" t="n"/>
    </row>
    <row r="14" ht="12" customHeight="1" thickBot="1">
      <c r="A14" s="468" t="inlineStr">
        <is>
          <t>Extruder  Center</t>
        </is>
      </c>
      <c r="B14" s="365" t="n"/>
      <c r="C14" s="365" t="n"/>
      <c r="D14" s="365" t="n"/>
      <c r="E14" s="466" t="n">
        <v>400</v>
      </c>
      <c r="F14" s="365" t="n"/>
      <c r="G14" s="365" t="n"/>
      <c r="H14" s="365" t="n"/>
      <c r="I14" s="365" t="n"/>
      <c r="J14" s="365" t="n"/>
      <c r="K14" s="365" t="n"/>
      <c r="L14" s="371" t="n"/>
      <c r="M14" s="372" t="n"/>
      <c r="N14" s="373" t="n"/>
      <c r="O14" s="374" t="n"/>
      <c r="P14" s="374" t="n"/>
      <c r="Q14" s="374" t="n"/>
      <c r="R14" s="374" t="n"/>
      <c r="S14" s="372" t="n"/>
      <c r="T14" s="371" t="n"/>
      <c r="U14" s="949" t="n"/>
      <c r="V14" s="372" t="n"/>
      <c r="W14" s="371" t="n"/>
      <c r="X14" s="464" t="n"/>
      <c r="Y14" s="419" t="n"/>
      <c r="Z14" s="374" t="n"/>
      <c r="AA14" s="371" t="n"/>
      <c r="AB14" s="372" t="n"/>
      <c r="AC14" s="371" t="n"/>
      <c r="AD14" s="412" t="n"/>
      <c r="AE14" s="372" t="n"/>
      <c r="AF14" s="371" t="n"/>
      <c r="AG14" s="374" t="n"/>
      <c r="AH14" s="374" t="n"/>
      <c r="AI14" s="372" t="n"/>
      <c r="AJ14" s="371" t="n"/>
      <c r="AK14" s="374" t="n"/>
      <c r="AL14" s="374" t="n"/>
      <c r="AM14" s="372" t="n"/>
      <c r="AN14" s="371" t="n"/>
      <c r="AO14" s="374" t="n"/>
      <c r="AP14" s="372" t="n"/>
      <c r="AQ14" s="371" t="n"/>
      <c r="AR14" s="372" t="n"/>
    </row>
    <row r="15" ht="12" customHeight="1">
      <c r="A15" s="468" t="inlineStr">
        <is>
          <t>Extruder  Forward</t>
        </is>
      </c>
      <c r="B15" s="365" t="n"/>
      <c r="C15" s="365" t="n"/>
      <c r="D15" s="365" t="n"/>
      <c r="E15" s="466" t="n">
        <v>400</v>
      </c>
      <c r="F15" s="365" t="n"/>
      <c r="G15" s="365" t="n"/>
      <c r="H15" s="365" t="n"/>
      <c r="I15" s="365" t="n"/>
      <c r="J15" s="365" t="n"/>
      <c r="K15" s="365" t="n"/>
      <c r="L15" s="367" t="inlineStr">
        <is>
          <t>F4</t>
        </is>
      </c>
      <c r="M15" s="368" t="n"/>
      <c r="N15" s="367" t="inlineStr">
        <is>
          <t>JETFIL 625C/BT2202C</t>
        </is>
      </c>
      <c r="O15" s="369" t="n"/>
      <c r="P15" s="369" t="n"/>
      <c r="Q15" s="369" t="n"/>
      <c r="R15" s="369" t="n"/>
      <c r="S15" s="368" t="n"/>
      <c r="T15" s="370" t="n"/>
      <c r="U15" s="948" t="n">
        <v>11</v>
      </c>
      <c r="V15" s="368" t="n"/>
      <c r="W15" s="417" t="n"/>
      <c r="X15" s="467" t="b">
        <v>1</v>
      </c>
      <c r="Y15" s="418" t="n"/>
      <c r="Z15" s="369" t="inlineStr">
        <is>
          <t>60/60</t>
        </is>
      </c>
      <c r="AA15" s="370" t="inlineStr">
        <is>
          <t>H</t>
        </is>
      </c>
      <c r="AB15" s="368" t="n"/>
      <c r="AC15" s="370" t="n"/>
      <c r="AD15" s="411" t="n">
        <v>0.1</v>
      </c>
      <c r="AE15" s="368" t="n"/>
      <c r="AF15" s="370" t="n"/>
      <c r="AG15" s="369" t="inlineStr">
        <is>
          <t>75/150</t>
        </is>
      </c>
      <c r="AH15" s="369" t="n"/>
      <c r="AI15" s="368" t="n"/>
      <c r="AJ15" s="370" t="n"/>
      <c r="AK15" s="369" t="n"/>
      <c r="AL15" s="369" t="n"/>
      <c r="AM15" s="368" t="n"/>
      <c r="AN15" s="370" t="n"/>
      <c r="AO15" s="369" t="n"/>
      <c r="AP15" s="368" t="n"/>
      <c r="AQ15" s="370" t="n"/>
      <c r="AR15" s="368" t="n"/>
    </row>
    <row r="16" ht="12" customHeight="1" thickBot="1">
      <c r="A16" s="468" t="inlineStr">
        <is>
          <t>S/C  Clevis End</t>
        </is>
      </c>
      <c r="B16" s="365" t="n"/>
      <c r="C16" s="365" t="n"/>
      <c r="D16" s="365" t="n"/>
      <c r="E16" s="466" t="inlineStr">
        <is>
          <t>N/A</t>
        </is>
      </c>
      <c r="F16" s="365" t="n"/>
      <c r="G16" s="365" t="n"/>
      <c r="H16" s="365" t="n"/>
      <c r="I16" s="365" t="n"/>
      <c r="J16" s="365" t="n"/>
      <c r="K16" s="365" t="n"/>
      <c r="L16" s="371" t="n"/>
      <c r="M16" s="372" t="n"/>
      <c r="N16" s="373" t="n"/>
      <c r="O16" s="374" t="n"/>
      <c r="P16" s="374" t="n"/>
      <c r="Q16" s="374" t="n"/>
      <c r="R16" s="374" t="n"/>
      <c r="S16" s="372" t="n"/>
      <c r="T16" s="371" t="n"/>
      <c r="U16" s="949" t="n"/>
      <c r="V16" s="372" t="n"/>
      <c r="W16" s="371" t="n"/>
      <c r="X16" s="464" t="n"/>
      <c r="Y16" s="419" t="n"/>
      <c r="Z16" s="374" t="n"/>
      <c r="AA16" s="371" t="n"/>
      <c r="AB16" s="372" t="n"/>
      <c r="AC16" s="371" t="n"/>
      <c r="AD16" s="412" t="n"/>
      <c r="AE16" s="372" t="n"/>
      <c r="AF16" s="371" t="n"/>
      <c r="AG16" s="374" t="n"/>
      <c r="AH16" s="374" t="n"/>
      <c r="AI16" s="372" t="n"/>
      <c r="AJ16" s="371" t="n"/>
      <c r="AK16" s="374" t="n"/>
      <c r="AL16" s="374" t="n"/>
      <c r="AM16" s="372" t="n"/>
      <c r="AN16" s="371" t="n"/>
      <c r="AO16" s="374" t="n"/>
      <c r="AP16" s="372" t="n"/>
      <c r="AQ16" s="371" t="n"/>
      <c r="AR16" s="372" t="n"/>
    </row>
    <row r="17" ht="12" customHeight="1">
      <c r="A17" s="468" t="inlineStr">
        <is>
          <t>S/C  Body</t>
        </is>
      </c>
      <c r="B17" s="365" t="n"/>
      <c r="C17" s="365" t="n"/>
      <c r="D17" s="365" t="n"/>
      <c r="E17" s="466" t="inlineStr">
        <is>
          <t>N/A</t>
        </is>
      </c>
      <c r="F17" s="365" t="n"/>
      <c r="G17" s="365" t="n"/>
      <c r="H17" s="365" t="n"/>
      <c r="I17" s="365" t="n"/>
      <c r="J17" s="365" t="n"/>
      <c r="K17" s="365" t="n"/>
      <c r="L17" s="367" t="inlineStr">
        <is>
          <t>F5</t>
        </is>
      </c>
      <c r="M17" s="368" t="n"/>
      <c r="N17" s="367" t="inlineStr">
        <is>
          <t>JETFIL 625C/BT2202C</t>
        </is>
      </c>
      <c r="O17" s="369" t="n"/>
      <c r="P17" s="369" t="n"/>
      <c r="Q17" s="369" t="n"/>
      <c r="R17" s="369" t="n"/>
      <c r="S17" s="368" t="n"/>
      <c r="T17" s="370" t="n"/>
      <c r="U17" s="948" t="n">
        <v>11</v>
      </c>
      <c r="V17" s="368" t="n"/>
      <c r="W17" s="417" t="n"/>
      <c r="X17" s="467" t="b">
        <v>1</v>
      </c>
      <c r="Y17" s="418" t="n"/>
      <c r="Z17" s="369" t="inlineStr">
        <is>
          <t>60/60</t>
        </is>
      </c>
      <c r="AA17" s="370" t="inlineStr">
        <is>
          <t>N/A</t>
        </is>
      </c>
      <c r="AB17" s="368" t="n"/>
      <c r="AC17" s="370" t="n"/>
      <c r="AD17" s="411" t="n">
        <v>0.1</v>
      </c>
      <c r="AE17" s="368" t="n"/>
      <c r="AF17" s="370" t="n"/>
      <c r="AG17" s="369" t="inlineStr">
        <is>
          <t>75/150</t>
        </is>
      </c>
      <c r="AH17" s="369" t="n"/>
      <c r="AI17" s="368" t="n"/>
      <c r="AJ17" s="370" t="n"/>
      <c r="AK17" s="369" t="n"/>
      <c r="AL17" s="369" t="n"/>
      <c r="AM17" s="368" t="n"/>
      <c r="AN17" s="370" t="n"/>
      <c r="AO17" s="369" t="n"/>
      <c r="AP17" s="368" t="n"/>
      <c r="AQ17" s="370" t="n"/>
      <c r="AR17" s="368" t="n"/>
    </row>
    <row r="18" ht="12" customHeight="1" thickBot="1">
      <c r="A18" s="468" t="inlineStr">
        <is>
          <t>S/C  Free End</t>
        </is>
      </c>
      <c r="B18" s="365" t="n"/>
      <c r="C18" s="365" t="n"/>
      <c r="D18" s="365" t="n"/>
      <c r="E18" s="466" t="n">
        <v>420</v>
      </c>
      <c r="F18" s="365" t="n"/>
      <c r="G18" s="365" t="n"/>
      <c r="H18" s="365" t="n"/>
      <c r="I18" s="365" t="n"/>
      <c r="J18" s="365" t="n"/>
      <c r="K18" s="365" t="n"/>
      <c r="L18" s="371" t="n"/>
      <c r="M18" s="372" t="n"/>
      <c r="N18" s="373" t="n"/>
      <c r="O18" s="374" t="n"/>
      <c r="P18" s="374" t="n"/>
      <c r="Q18" s="374" t="n"/>
      <c r="R18" s="374" t="n"/>
      <c r="S18" s="372" t="n"/>
      <c r="T18" s="371" t="n"/>
      <c r="U18" s="949" t="n"/>
      <c r="V18" s="372" t="n"/>
      <c r="W18" s="371" t="n"/>
      <c r="X18" s="464" t="n"/>
      <c r="Y18" s="419" t="n"/>
      <c r="Z18" s="374" t="n"/>
      <c r="AA18" s="371" t="n"/>
      <c r="AB18" s="372" t="n"/>
      <c r="AC18" s="371" t="n"/>
      <c r="AD18" s="412" t="n"/>
      <c r="AE18" s="372" t="n"/>
      <c r="AF18" s="371" t="n"/>
      <c r="AG18" s="374" t="n"/>
      <c r="AH18" s="374" t="n"/>
      <c r="AI18" s="372" t="n"/>
      <c r="AJ18" s="371" t="n"/>
      <c r="AK18" s="374" t="n"/>
      <c r="AL18" s="374" t="n"/>
      <c r="AM18" s="372" t="n"/>
      <c r="AN18" s="371" t="n"/>
      <c r="AO18" s="374" t="n"/>
      <c r="AP18" s="372" t="n"/>
      <c r="AQ18" s="371" t="n"/>
      <c r="AR18" s="372" t="n"/>
    </row>
    <row r="19" ht="12" customHeight="1">
      <c r="A19" s="468" t="inlineStr">
        <is>
          <t>Adapter</t>
        </is>
      </c>
      <c r="B19" s="365" t="n"/>
      <c r="C19" s="365" t="n"/>
      <c r="D19" s="365" t="n"/>
      <c r="E19" s="466" t="n">
        <v>420</v>
      </c>
      <c r="F19" s="365" t="n"/>
      <c r="G19" s="365" t="n"/>
      <c r="H19" s="365" t="n"/>
      <c r="I19" s="365" t="n"/>
      <c r="J19" s="365" t="n"/>
      <c r="K19" s="365" t="n"/>
      <c r="L19" s="367" t="inlineStr">
        <is>
          <t>F6</t>
        </is>
      </c>
      <c r="M19" s="368" t="n"/>
      <c r="N19" s="367" t="inlineStr">
        <is>
          <t>JETFIL 625C/BT2202C</t>
        </is>
      </c>
      <c r="O19" s="369" t="n"/>
      <c r="P19" s="369" t="n"/>
      <c r="Q19" s="369" t="n"/>
      <c r="R19" s="369" t="n"/>
      <c r="S19" s="368" t="n"/>
      <c r="T19" s="370" t="n"/>
      <c r="U19" s="948" t="n">
        <v>11</v>
      </c>
      <c r="V19" s="368" t="n"/>
      <c r="W19" s="417" t="n"/>
      <c r="X19" s="467" t="b">
        <v>1</v>
      </c>
      <c r="Y19" s="418" t="n"/>
      <c r="Z19" s="369" t="inlineStr">
        <is>
          <t>60/60</t>
        </is>
      </c>
      <c r="AA19" s="370" t="inlineStr">
        <is>
          <t>N/A</t>
        </is>
      </c>
      <c r="AB19" s="368" t="n"/>
      <c r="AC19" s="370" t="n"/>
      <c r="AD19" s="411" t="n">
        <v>0.1</v>
      </c>
      <c r="AE19" s="368" t="n"/>
      <c r="AF19" s="370" t="n"/>
      <c r="AG19" s="369" t="inlineStr">
        <is>
          <t>75/150</t>
        </is>
      </c>
      <c r="AH19" s="369" t="n"/>
      <c r="AI19" s="368" t="n"/>
      <c r="AJ19" s="370" t="n"/>
      <c r="AK19" s="369" t="n"/>
      <c r="AL19" s="369" t="n"/>
      <c r="AM19" s="368" t="n"/>
      <c r="AN19" s="370" t="n"/>
      <c r="AO19" s="369" t="n"/>
      <c r="AP19" s="368" t="n"/>
      <c r="AQ19" s="370" t="n"/>
      <c r="AR19" s="368" t="n"/>
    </row>
    <row r="20" ht="12" customHeight="1" thickBot="1">
      <c r="A20" s="468" t="inlineStr">
        <is>
          <t>Die</t>
        </is>
      </c>
      <c r="B20" s="365" t="n"/>
      <c r="C20" s="365" t="n"/>
      <c r="D20" s="365" t="n"/>
      <c r="E20" s="466" t="n">
        <v>480</v>
      </c>
      <c r="F20" s="365" t="n"/>
      <c r="G20" s="365" t="n"/>
      <c r="H20" s="365" t="n"/>
      <c r="I20" s="365" t="n"/>
      <c r="J20" s="365" t="n"/>
      <c r="K20" s="365" t="n"/>
      <c r="L20" s="371" t="n"/>
      <c r="M20" s="372" t="n"/>
      <c r="N20" s="373" t="n"/>
      <c r="O20" s="374" t="n"/>
      <c r="P20" s="374" t="n"/>
      <c r="Q20" s="374" t="n"/>
      <c r="R20" s="374" t="n"/>
      <c r="S20" s="372" t="n"/>
      <c r="T20" s="371" t="n"/>
      <c r="U20" s="949" t="n"/>
      <c r="V20" s="372" t="n"/>
      <c r="W20" s="371" t="n"/>
      <c r="X20" s="464" t="n"/>
      <c r="Y20" s="419" t="n"/>
      <c r="Z20" s="374" t="n"/>
      <c r="AA20" s="371" t="n"/>
      <c r="AB20" s="372" t="n"/>
      <c r="AC20" s="371" t="n"/>
      <c r="AD20" s="412" t="n"/>
      <c r="AE20" s="372" t="n"/>
      <c r="AF20" s="371" t="n"/>
      <c r="AG20" s="374" t="n"/>
      <c r="AH20" s="374" t="n"/>
      <c r="AI20" s="372" t="n"/>
      <c r="AJ20" s="371" t="n"/>
      <c r="AK20" s="374" t="n"/>
      <c r="AL20" s="374" t="n"/>
      <c r="AM20" s="372" t="n"/>
      <c r="AN20" s="371" t="n"/>
      <c r="AO20" s="374" t="n"/>
      <c r="AP20" s="372" t="n"/>
      <c r="AQ20" s="371" t="n"/>
      <c r="AR20" s="372" t="n"/>
    </row>
    <row r="21" ht="12" customHeight="1" thickBot="1">
      <c r="A21" s="364" t="n"/>
      <c r="B21" s="365" t="n"/>
      <c r="C21" s="365" t="n"/>
      <c r="D21" s="365" t="n"/>
      <c r="E21" s="366" t="n"/>
      <c r="F21" s="365" t="n"/>
      <c r="G21" s="365" t="n"/>
      <c r="H21" s="365" t="n"/>
      <c r="I21" s="365" t="n"/>
      <c r="J21" s="365" t="n"/>
      <c r="K21" s="365" t="n"/>
      <c r="L21" s="367" t="inlineStr">
        <is>
          <t>F7</t>
        </is>
      </c>
      <c r="M21" s="368" t="n"/>
      <c r="N21" s="367" t="inlineStr">
        <is>
          <t>JETFIL 625C/BT2202C</t>
        </is>
      </c>
      <c r="O21" s="369" t="n"/>
      <c r="P21" s="369" t="n"/>
      <c r="Q21" s="369" t="n"/>
      <c r="R21" s="369" t="n"/>
      <c r="S21" s="368" t="n"/>
      <c r="T21" s="370" t="n"/>
      <c r="U21" s="948" t="n">
        <v>11</v>
      </c>
      <c r="V21" s="368" t="n"/>
      <c r="W21" s="417" t="n"/>
      <c r="X21" s="467" t="b">
        <v>1</v>
      </c>
      <c r="Y21" s="418" t="n"/>
      <c r="Z21" s="369" t="inlineStr">
        <is>
          <t>60/60</t>
        </is>
      </c>
      <c r="AA21" s="370" t="inlineStr">
        <is>
          <t>N/A</t>
        </is>
      </c>
      <c r="AB21" s="368" t="n"/>
      <c r="AC21" s="370" t="n"/>
      <c r="AD21" s="411" t="n">
        <v>0.1</v>
      </c>
      <c r="AE21" s="368" t="n"/>
      <c r="AF21" s="370" t="n"/>
      <c r="AG21" s="369" t="inlineStr">
        <is>
          <t>30/40</t>
        </is>
      </c>
      <c r="AH21" s="369" t="n"/>
      <c r="AI21" s="368" t="n"/>
      <c r="AJ21" s="370" t="n"/>
      <c r="AK21" s="369" t="n"/>
      <c r="AL21" s="369" t="n"/>
      <c r="AM21" s="368" t="n"/>
      <c r="AN21" s="370" t="n"/>
      <c r="AO21" s="369" t="n"/>
      <c r="AP21" s="368" t="n"/>
      <c r="AQ21" s="370" t="n"/>
      <c r="AR21" s="368" t="n"/>
    </row>
    <row r="22" ht="12" customHeight="1" thickBot="1">
      <c r="A22" s="370" t="n"/>
      <c r="B22" s="369" t="n"/>
      <c r="C22" s="369" t="n"/>
      <c r="D22" s="369" t="n"/>
      <c r="E22" s="369" t="n"/>
      <c r="F22" s="369" t="n"/>
      <c r="G22" s="369" t="n"/>
      <c r="H22" s="369" t="n"/>
      <c r="I22" s="369" t="n"/>
      <c r="J22" s="369" t="n"/>
      <c r="K22" s="368" t="n"/>
      <c r="L22" s="374" t="n"/>
      <c r="M22" s="372" t="n"/>
      <c r="N22" s="373" t="n"/>
      <c r="O22" s="374" t="n"/>
      <c r="P22" s="374" t="n"/>
      <c r="Q22" s="374" t="n"/>
      <c r="R22" s="374" t="n"/>
      <c r="S22" s="372" t="n"/>
      <c r="T22" s="371" t="n"/>
      <c r="U22" s="949" t="n"/>
      <c r="V22" s="372" t="n"/>
      <c r="W22" s="371" t="n"/>
      <c r="X22" s="464" t="n"/>
      <c r="Y22" s="419" t="n"/>
      <c r="Z22" s="374" t="n"/>
      <c r="AA22" s="371" t="n"/>
      <c r="AB22" s="372" t="n"/>
      <c r="AC22" s="371" t="n"/>
      <c r="AD22" s="412" t="n"/>
      <c r="AE22" s="372" t="n"/>
      <c r="AF22" s="371" t="n"/>
      <c r="AG22" s="374" t="n"/>
      <c r="AH22" s="374" t="n"/>
      <c r="AI22" s="372" t="n"/>
      <c r="AJ22" s="371" t="n"/>
      <c r="AK22" s="374" t="n"/>
      <c r="AL22" s="374" t="n"/>
      <c r="AM22" s="372" t="n"/>
      <c r="AN22" s="371" t="n"/>
      <c r="AO22" s="374" t="n"/>
      <c r="AP22" s="372" t="n"/>
      <c r="AQ22" s="371" t="n"/>
      <c r="AR22" s="372" t="n"/>
    </row>
    <row r="23" ht="12" customHeight="1">
      <c r="A23" s="413" t="n"/>
      <c r="B23" s="365" t="n"/>
      <c r="C23" s="365" t="n"/>
      <c r="D23" s="365" t="n"/>
      <c r="E23" s="365" t="n"/>
      <c r="F23" s="365" t="n"/>
      <c r="G23" s="365" t="n"/>
      <c r="H23" s="365" t="n"/>
      <c r="I23" s="365" t="n"/>
      <c r="J23" s="365" t="n"/>
      <c r="K23" s="366" t="n"/>
      <c r="L23" s="470" t="inlineStr">
        <is>
          <t>F8</t>
        </is>
      </c>
      <c r="M23" s="368" t="n"/>
      <c r="N23" s="367" t="inlineStr">
        <is>
          <t>PREBLEND</t>
        </is>
      </c>
      <c r="O23" s="369" t="n"/>
      <c r="P23" s="369" t="n"/>
      <c r="Q23" s="369" t="n"/>
      <c r="R23" s="369" t="n"/>
      <c r="S23" s="368" t="n"/>
      <c r="T23" s="370" t="n"/>
      <c r="U23" s="948" t="n">
        <v>11</v>
      </c>
      <c r="V23" s="368" t="n"/>
      <c r="W23" s="417" t="n"/>
      <c r="X23" s="467" t="b">
        <v>1</v>
      </c>
      <c r="Y23" s="418" t="n"/>
      <c r="Z23" s="369" t="inlineStr">
        <is>
          <t>60/60</t>
        </is>
      </c>
      <c r="AA23" s="370" t="inlineStr">
        <is>
          <t>N/A</t>
        </is>
      </c>
      <c r="AB23" s="368" t="n"/>
      <c r="AC23" s="370" t="n"/>
      <c r="AD23" s="411" t="n">
        <v>0.1</v>
      </c>
      <c r="AE23" s="368" t="n"/>
      <c r="AF23" s="370" t="n"/>
      <c r="AG23" s="369" t="inlineStr">
        <is>
          <t>25/30</t>
        </is>
      </c>
      <c r="AH23" s="369" t="n"/>
      <c r="AI23" s="368" t="n"/>
      <c r="AJ23" s="370" t="n"/>
      <c r="AK23" s="369" t="n"/>
      <c r="AL23" s="369" t="n"/>
      <c r="AM23" s="368" t="n"/>
      <c r="AN23" s="370" t="n"/>
      <c r="AO23" s="369" t="n"/>
      <c r="AP23" s="368" t="n"/>
      <c r="AQ23" s="370" t="n"/>
      <c r="AR23" s="368" t="n"/>
    </row>
    <row r="24" ht="12" customHeight="1" thickBot="1">
      <c r="A24" s="364" t="n"/>
      <c r="B24" s="365" t="n"/>
      <c r="C24" s="365" t="n"/>
      <c r="D24" s="365" t="n"/>
      <c r="E24" s="365" t="n"/>
      <c r="F24" s="365" t="n"/>
      <c r="G24" s="365" t="n"/>
      <c r="H24" s="365" t="n"/>
      <c r="I24" s="365" t="n"/>
      <c r="J24" s="365" t="n"/>
      <c r="K24" s="366" t="n"/>
      <c r="L24" s="374" t="n"/>
      <c r="M24" s="372" t="n"/>
      <c r="N24" s="373" t="n"/>
      <c r="O24" s="374" t="n"/>
      <c r="P24" s="374" t="n"/>
      <c r="Q24" s="374" t="n"/>
      <c r="R24" s="374" t="n"/>
      <c r="S24" s="372" t="n"/>
      <c r="T24" s="371" t="n"/>
      <c r="U24" s="471" t="n"/>
      <c r="V24" s="372" t="n"/>
      <c r="W24" s="371" t="n"/>
      <c r="X24" s="464" t="n"/>
      <c r="Y24" s="419" t="n"/>
      <c r="Z24" s="374" t="n"/>
      <c r="AA24" s="371" t="n"/>
      <c r="AB24" s="372" t="n"/>
      <c r="AC24" s="371" t="n"/>
      <c r="AD24" s="412" t="n"/>
      <c r="AE24" s="372" t="n"/>
      <c r="AF24" s="371" t="n"/>
      <c r="AG24" s="374" t="n"/>
      <c r="AH24" s="374" t="n"/>
      <c r="AI24" s="372" t="n"/>
      <c r="AJ24" s="371" t="n"/>
      <c r="AK24" s="374" t="n"/>
      <c r="AL24" s="374" t="n"/>
      <c r="AM24" s="372" t="n"/>
      <c r="AN24" s="371" t="n"/>
      <c r="AO24" s="374" t="n"/>
      <c r="AP24" s="372" t="n"/>
      <c r="AQ24" s="371" t="n"/>
      <c r="AR24" s="372" t="n"/>
    </row>
    <row r="25" ht="12" customHeight="1">
      <c r="A25" s="364" t="n"/>
      <c r="B25" s="365" t="n"/>
      <c r="C25" s="365" t="n"/>
      <c r="D25" s="365" t="n"/>
      <c r="E25" s="365" t="n"/>
      <c r="F25" s="365" t="n"/>
      <c r="G25" s="365" t="n"/>
      <c r="H25" s="365" t="n"/>
      <c r="I25" s="365" t="n"/>
      <c r="J25" s="365" t="n"/>
      <c r="K25" s="366" t="n"/>
      <c r="L25" s="470" t="inlineStr">
        <is>
          <t>F9</t>
        </is>
      </c>
      <c r="M25" s="368" t="n"/>
      <c r="N25" s="367" t="n"/>
      <c r="O25" s="369" t="n"/>
      <c r="P25" s="369" t="n"/>
      <c r="Q25" s="369" t="n"/>
      <c r="R25" s="369" t="n"/>
      <c r="S25" s="368" t="n"/>
      <c r="T25" s="370" t="n"/>
      <c r="U25" s="472" t="n"/>
      <c r="V25" s="368" t="n"/>
      <c r="W25" s="417" t="n"/>
      <c r="X25" s="467" t="b">
        <v>1</v>
      </c>
      <c r="Y25" s="418" t="n"/>
      <c r="Z25" s="369" t="inlineStr">
        <is>
          <t>40/40</t>
        </is>
      </c>
      <c r="AA25" s="370" t="n"/>
      <c r="AB25" s="368" t="n"/>
      <c r="AC25" s="370" t="n"/>
      <c r="AD25" s="411" t="n">
        <v>0.1</v>
      </c>
      <c r="AE25" s="368" t="n"/>
      <c r="AF25" s="370" t="n"/>
      <c r="AG25" s="369" t="n"/>
      <c r="AH25" s="369" t="n"/>
      <c r="AI25" s="368" t="n"/>
      <c r="AJ25" s="370" t="n"/>
      <c r="AK25" s="369" t="n"/>
      <c r="AL25" s="369" t="n"/>
      <c r="AM25" s="368" t="n"/>
      <c r="AN25" s="370" t="n"/>
      <c r="AO25" s="369" t="n"/>
      <c r="AP25" s="368" t="n"/>
      <c r="AQ25" s="370" t="n"/>
      <c r="AR25" s="368" t="n"/>
    </row>
    <row r="26" ht="12" customHeight="1" thickBot="1">
      <c r="A26" s="371" t="n"/>
      <c r="B26" s="374" t="n"/>
      <c r="C26" s="374" t="n"/>
      <c r="D26" s="374" t="n"/>
      <c r="E26" s="374" t="n"/>
      <c r="F26" s="374" t="n"/>
      <c r="G26" s="374" t="n"/>
      <c r="H26" s="374" t="n"/>
      <c r="I26" s="374" t="n"/>
      <c r="J26" s="374" t="n"/>
      <c r="K26" s="372" t="n"/>
      <c r="L26" s="374" t="n"/>
      <c r="M26" s="372" t="n"/>
      <c r="N26" s="371" t="n"/>
      <c r="O26" s="374" t="n"/>
      <c r="P26" s="374" t="n"/>
      <c r="Q26" s="374" t="n"/>
      <c r="R26" s="374" t="n"/>
      <c r="S26" s="372" t="n"/>
      <c r="T26" s="371" t="n"/>
      <c r="U26" s="375" t="n"/>
      <c r="V26" s="372" t="n"/>
      <c r="W26" s="371" t="n"/>
      <c r="X26" s="464" t="n"/>
      <c r="Y26" s="419" t="n"/>
      <c r="Z26" s="374" t="n"/>
      <c r="AA26" s="371" t="n"/>
      <c r="AB26" s="372" t="n"/>
      <c r="AC26" s="371" t="n"/>
      <c r="AD26" s="374" t="n"/>
      <c r="AE26" s="372" t="n"/>
      <c r="AF26" s="371" t="n"/>
      <c r="AG26" s="374" t="n"/>
      <c r="AH26" s="374" t="n"/>
      <c r="AI26" s="372" t="n"/>
      <c r="AJ26" s="371" t="n"/>
      <c r="AK26" s="374" t="n"/>
      <c r="AL26" s="374" t="n"/>
      <c r="AM26" s="372" t="n"/>
      <c r="AN26" s="371" t="n"/>
      <c r="AO26" s="374" t="n"/>
      <c r="AP26" s="372" t="n"/>
      <c r="AQ26" s="371" t="n"/>
      <c r="AR26" s="372" t="n"/>
    </row>
    <row r="27" ht="12" customHeight="1">
      <c r="A27" s="364" t="n"/>
      <c r="B27" s="365" t="n"/>
      <c r="C27" s="365" t="n"/>
      <c r="D27" s="365" t="n"/>
      <c r="E27" s="365" t="n"/>
      <c r="F27" s="365" t="n"/>
      <c r="G27" s="365" t="n"/>
      <c r="H27" s="365" t="n"/>
      <c r="I27" s="365" t="n"/>
      <c r="J27" s="365" t="n"/>
      <c r="K27" s="365" t="n"/>
      <c r="L27" s="369" t="n"/>
      <c r="M27" s="369" t="n"/>
      <c r="N27" s="369" t="n"/>
      <c r="O27" s="369" t="n"/>
      <c r="P27" s="368" t="n"/>
      <c r="Q27" s="370" t="n"/>
      <c r="R27" s="369" t="n"/>
      <c r="S27" s="369" t="n"/>
      <c r="T27" s="369" t="n"/>
      <c r="U27" s="369" t="n"/>
      <c r="V27" s="369" t="n"/>
      <c r="W27" s="369" t="n"/>
      <c r="X27" s="369" t="n"/>
      <c r="Y27" s="369" t="n"/>
      <c r="Z27" s="368" t="n"/>
      <c r="AA27" s="365" t="n"/>
      <c r="AB27" s="365" t="n"/>
      <c r="AC27" s="365" t="n"/>
      <c r="AD27" s="386" t="n"/>
      <c r="AE27" s="365" t="n"/>
      <c r="AF27" s="365" t="n"/>
      <c r="AG27" s="365" t="n"/>
      <c r="AH27" s="365" t="n"/>
      <c r="AI27" s="365" t="n"/>
      <c r="AJ27" s="365" t="n"/>
      <c r="AK27" s="365" t="n"/>
      <c r="AL27" s="365" t="n"/>
      <c r="AM27" s="365" t="n"/>
      <c r="AN27" s="365" t="n"/>
      <c r="AO27" s="365" t="n"/>
      <c r="AP27" s="365" t="n"/>
      <c r="AQ27" s="365" t="n"/>
      <c r="AR27" s="366" t="n"/>
    </row>
    <row r="28" ht="12" customHeight="1">
      <c r="A28" s="364" t="n"/>
      <c r="B28" s="365" t="n"/>
      <c r="C28" s="365" t="inlineStr">
        <is>
          <t>MACHINE SETTINGS</t>
        </is>
      </c>
      <c r="D28" s="365" t="n"/>
      <c r="E28" s="365" t="n"/>
      <c r="F28" s="365" t="n"/>
      <c r="G28" s="365" t="n"/>
      <c r="H28" s="365" t="n"/>
      <c r="I28" s="365" t="n"/>
      <c r="J28" s="365" t="n"/>
      <c r="K28" s="365" t="n"/>
      <c r="L28" s="365" t="n"/>
      <c r="M28" s="365" t="n"/>
      <c r="N28" s="365" t="n"/>
      <c r="O28" s="365" t="n"/>
      <c r="P28" s="366" t="n"/>
      <c r="Q28" s="364" t="n"/>
      <c r="R28" s="365" t="n"/>
      <c r="S28" s="365" t="n"/>
      <c r="T28" s="365" t="n"/>
      <c r="U28" s="365" t="inlineStr">
        <is>
          <t>PELLETIZING</t>
        </is>
      </c>
      <c r="V28" s="365" t="n"/>
      <c r="W28" s="365" t="n"/>
      <c r="X28" s="365" t="n"/>
      <c r="Y28" s="365" t="n"/>
      <c r="Z28" s="366" t="n"/>
      <c r="AA28" s="409" t="inlineStr">
        <is>
          <t>Special Notes:</t>
        </is>
      </c>
      <c r="AB28" s="365" t="n"/>
      <c r="AC28" s="365" t="n"/>
      <c r="AD28" s="365" t="n"/>
      <c r="AE28" s="365" t="n"/>
      <c r="AF28" s="365" t="n"/>
      <c r="AG28" s="365" t="n"/>
      <c r="AH28" s="365" t="n"/>
      <c r="AI28" s="365" t="n"/>
      <c r="AJ28" s="365" t="n"/>
      <c r="AK28" s="365" t="n"/>
      <c r="AL28" s="365" t="n"/>
      <c r="AM28" s="365" t="n"/>
      <c r="AN28" s="365" t="n"/>
      <c r="AO28" s="365" t="n"/>
      <c r="AP28" s="365" t="n"/>
      <c r="AQ28" s="365" t="n"/>
      <c r="AR28" s="366" t="n"/>
    </row>
    <row r="29" ht="12" customHeight="1" thickBot="1">
      <c r="A29" s="371" t="n"/>
      <c r="B29" s="374" t="n"/>
      <c r="C29" s="374" t="n"/>
      <c r="D29" s="374" t="n"/>
      <c r="E29" s="374" t="inlineStr">
        <is>
          <t>Setpoint</t>
        </is>
      </c>
      <c r="F29" s="374" t="n"/>
      <c r="G29" s="374" t="n"/>
      <c r="H29" s="374" t="n"/>
      <c r="I29" s="374" t="n"/>
      <c r="J29" s="374" t="n"/>
      <c r="K29" s="374" t="n"/>
      <c r="L29" s="374" t="inlineStr">
        <is>
          <t>Acceptable Ranges</t>
        </is>
      </c>
      <c r="M29" s="374" t="n"/>
      <c r="N29" s="374" t="n"/>
      <c r="O29" s="374" t="n"/>
      <c r="P29" s="372" t="n"/>
      <c r="Q29" s="371" t="n"/>
      <c r="R29" s="374" t="n"/>
      <c r="S29" s="374" t="n"/>
      <c r="T29" s="374" t="n"/>
      <c r="U29" s="374" t="n"/>
      <c r="V29" s="374" t="n"/>
      <c r="W29" s="374" t="n"/>
      <c r="X29" s="374" t="n"/>
      <c r="Y29" s="374" t="n"/>
      <c r="Z29" s="372" t="n"/>
      <c r="AA29" s="365" t="inlineStr">
        <is>
          <t>DROP TEST AND CALIBRATE ALL FEEDERS</t>
        </is>
      </c>
      <c r="AB29" s="365" t="n"/>
      <c r="AC29" s="365" t="n"/>
      <c r="AD29" s="365" t="n"/>
      <c r="AE29" s="365" t="n"/>
      <c r="AF29" s="365" t="n"/>
      <c r="AG29" s="365" t="n"/>
      <c r="AH29" s="365" t="n"/>
      <c r="AI29" s="365" t="n"/>
      <c r="AJ29" s="365" t="n"/>
      <c r="AK29" s="365" t="n"/>
      <c r="AL29" s="365" t="n"/>
      <c r="AM29" s="365" t="n"/>
      <c r="AN29" s="365" t="n"/>
      <c r="AO29" s="365" t="n"/>
      <c r="AP29" s="365" t="n"/>
      <c r="AQ29" s="365" t="n"/>
      <c r="AR29" s="366" t="n"/>
    </row>
    <row r="30" ht="12" customHeight="1">
      <c r="A30" s="364" t="n"/>
      <c r="B30" s="365" t="n"/>
      <c r="C30" s="365" t="n"/>
      <c r="D30" s="365" t="n"/>
      <c r="E30" s="387" t="inlineStr">
        <is>
          <t>Feed Rate:</t>
        </is>
      </c>
      <c r="F30" s="415" t="n">
        <v>4500</v>
      </c>
      <c r="G30" s="365" t="n"/>
      <c r="H30" s="365" t="n"/>
      <c r="I30" s="365" t="inlineStr">
        <is>
          <t>Lbs/Hr</t>
        </is>
      </c>
      <c r="J30" s="365" t="n"/>
      <c r="K30" s="365" t="n"/>
      <c r="L30" s="365" t="inlineStr">
        <is>
          <t>+/5%</t>
        </is>
      </c>
      <c r="M30" s="365" t="n"/>
      <c r="N30" s="365" t="n"/>
      <c r="O30" s="365" t="n"/>
      <c r="P30" s="366" t="n"/>
      <c r="Q30" s="364" t="n"/>
      <c r="R30" s="365" t="n"/>
      <c r="S30" s="365" t="n"/>
      <c r="T30" s="365" t="n"/>
      <c r="U30" s="365" t="n"/>
      <c r="V30" s="365" t="n"/>
      <c r="W30" s="365" t="n"/>
      <c r="X30" s="365" t="n"/>
      <c r="Y30" s="365" t="n"/>
      <c r="Z30" s="366" t="n"/>
      <c r="AA30" s="365" t="n"/>
      <c r="AB30" s="365" t="n"/>
      <c r="AC30" s="365" t="n"/>
      <c r="AD30" s="365" t="n"/>
      <c r="AE30" s="365" t="n"/>
      <c r="AF30" s="365" t="n"/>
      <c r="AG30" s="365" t="n"/>
      <c r="AH30" s="365" t="n"/>
      <c r="AI30" s="365" t="n"/>
      <c r="AJ30" s="365" t="n"/>
      <c r="AK30" s="365" t="n"/>
      <c r="AL30" s="365" t="n"/>
      <c r="AM30" s="365" t="n"/>
      <c r="AN30" s="365" t="n"/>
      <c r="AO30" s="365" t="n"/>
      <c r="AP30" s="365" t="n"/>
      <c r="AQ30" s="365" t="n"/>
      <c r="AR30" s="366" t="n"/>
    </row>
    <row r="31" ht="12" customHeight="1">
      <c r="A31" s="364" t="n"/>
      <c r="B31" s="365" t="n"/>
      <c r="C31" s="365" t="n"/>
      <c r="D31" s="365" t="n"/>
      <c r="E31" s="388" t="n"/>
      <c r="F31" s="365" t="n"/>
      <c r="G31" s="365" t="n"/>
      <c r="H31" s="365" t="n"/>
      <c r="I31" s="365" t="n"/>
      <c r="J31" s="365" t="n"/>
      <c r="K31" s="365" t="n"/>
      <c r="L31" s="365" t="n"/>
      <c r="M31" s="365" t="n"/>
      <c r="N31" s="365" t="n"/>
      <c r="O31" s="365" t="n"/>
      <c r="P31" s="366" t="n"/>
      <c r="Q31" s="364" t="n"/>
      <c r="R31" s="365" t="n"/>
      <c r="S31" s="365" t="n"/>
      <c r="T31" s="388" t="inlineStr">
        <is>
          <t>Die Hole Size:</t>
        </is>
      </c>
      <c r="U31" s="365" t="n">
        <v>110</v>
      </c>
      <c r="V31" s="365" t="n"/>
      <c r="W31" s="365" t="n"/>
      <c r="X31" s="365" t="n"/>
      <c r="Y31" s="365" t="n"/>
      <c r="Z31" s="366" t="n"/>
      <c r="AA31" s="365" t="n"/>
      <c r="AB31" s="365" t="n"/>
      <c r="AC31" s="365" t="n"/>
      <c r="AD31" s="365" t="n"/>
      <c r="AE31" s="365" t="n"/>
      <c r="AF31" s="365" t="n"/>
      <c r="AG31" s="365" t="n"/>
      <c r="AH31" s="365" t="n"/>
      <c r="AI31" s="365" t="n"/>
      <c r="AJ31" s="365" t="n"/>
      <c r="AK31" s="365" t="n"/>
      <c r="AL31" s="365" t="n"/>
      <c r="AM31" s="365" t="n"/>
      <c r="AN31" s="365" t="n"/>
      <c r="AO31" s="365" t="n"/>
      <c r="AP31" s="365" t="n"/>
      <c r="AQ31" s="365" t="n"/>
      <c r="AR31" s="366" t="n"/>
    </row>
    <row r="32" ht="12" customHeight="1">
      <c r="A32" s="364" t="n"/>
      <c r="B32" s="365" t="n"/>
      <c r="C32" s="365" t="n"/>
      <c r="D32" s="365" t="n"/>
      <c r="E32" s="388" t="inlineStr">
        <is>
          <t>Mixer Speed:</t>
        </is>
      </c>
      <c r="F32" s="386" t="inlineStr">
        <is>
          <t>525 (±20)</t>
        </is>
      </c>
      <c r="G32" s="365" t="n"/>
      <c r="H32" s="365" t="n"/>
      <c r="I32" s="365" t="inlineStr">
        <is>
          <t>RPM</t>
        </is>
      </c>
      <c r="J32" s="365" t="n"/>
      <c r="K32" s="365" t="n"/>
      <c r="L32" s="389" t="inlineStr">
        <is>
          <t>+/5%</t>
        </is>
      </c>
      <c r="M32" s="365" t="n"/>
      <c r="N32" s="365" t="n"/>
      <c r="O32" s="365" t="n"/>
      <c r="P32" s="366" t="n"/>
      <c r="Q32" s="364" t="n"/>
      <c r="R32" s="365" t="n"/>
      <c r="S32" s="365" t="n"/>
      <c r="T32" s="388" t="inlineStr">
        <is>
          <t># Open Holes:</t>
        </is>
      </c>
      <c r="U32" s="365" t="n">
        <v>100</v>
      </c>
      <c r="V32" s="365" t="n"/>
      <c r="W32" s="365" t="n"/>
      <c r="X32" s="365" t="n"/>
      <c r="Y32" s="365" t="n"/>
      <c r="Z32" s="366" t="n"/>
      <c r="AA32" s="365" t="n"/>
      <c r="AB32" s="365" t="n"/>
      <c r="AC32" s="365" t="n"/>
      <c r="AD32" s="365" t="n"/>
      <c r="AE32" s="365" t="n"/>
      <c r="AF32" s="365" t="n"/>
      <c r="AG32" s="365" t="n"/>
      <c r="AH32" s="365" t="n"/>
      <c r="AI32" s="365" t="n"/>
      <c r="AJ32" s="365" t="n"/>
      <c r="AK32" s="365" t="n"/>
      <c r="AL32" s="365" t="n"/>
      <c r="AM32" s="365" t="n"/>
      <c r="AN32" s="365" t="n"/>
      <c r="AO32" s="365" t="n"/>
      <c r="AP32" s="365" t="n"/>
      <c r="AQ32" s="365" t="n"/>
      <c r="AR32" s="366" t="n"/>
    </row>
    <row r="33" ht="12" customHeight="1">
      <c r="A33" s="364" t="n"/>
      <c r="B33" s="365" t="n"/>
      <c r="C33" s="365" t="n"/>
      <c r="D33" s="365" t="n"/>
      <c r="E33" s="388" t="inlineStr">
        <is>
          <t>Mixer Amps:</t>
        </is>
      </c>
      <c r="F33" s="473" t="inlineStr">
        <is>
          <t>&lt;90</t>
        </is>
      </c>
      <c r="G33" s="365" t="n"/>
      <c r="H33" s="365" t="n"/>
      <c r="I33" s="365" t="inlineStr">
        <is>
          <t>Amps</t>
        </is>
      </c>
      <c r="J33" s="365" t="n"/>
      <c r="K33" s="365" t="n"/>
      <c r="L33" s="389" t="n"/>
      <c r="M33" s="365" t="n"/>
      <c r="N33" s="365" t="n"/>
      <c r="O33" s="365" t="n"/>
      <c r="P33" s="366" t="n"/>
      <c r="Q33" s="364" t="n"/>
      <c r="R33" s="365" t="n"/>
      <c r="S33" s="365" t="n"/>
      <c r="T33" s="388" t="inlineStr">
        <is>
          <t>Die Pattern:</t>
        </is>
      </c>
      <c r="U33" s="365" t="inlineStr">
        <is>
          <t>Open</t>
        </is>
      </c>
      <c r="V33" s="365" t="n"/>
      <c r="W33" s="365" t="n"/>
      <c r="X33" s="365" t="n"/>
      <c r="Y33" s="365" t="n"/>
      <c r="Z33" s="366" t="n"/>
      <c r="AA33" s="365" t="n"/>
      <c r="AB33" s="365" t="n"/>
      <c r="AC33" s="365" t="n"/>
      <c r="AD33" s="365" t="n"/>
      <c r="AE33" s="365" t="n"/>
      <c r="AF33" s="365" t="n"/>
      <c r="AG33" s="365" t="n"/>
      <c r="AH33" s="365" t="n"/>
      <c r="AI33" s="365" t="n"/>
      <c r="AJ33" s="365" t="n"/>
      <c r="AK33" s="365" t="n"/>
      <c r="AL33" s="365" t="n"/>
      <c r="AM33" s="365" t="n"/>
      <c r="AN33" s="365" t="n"/>
      <c r="AO33" s="365" t="n"/>
      <c r="AP33" s="365" t="n"/>
      <c r="AQ33" s="365" t="n"/>
      <c r="AR33" s="366" t="n"/>
    </row>
    <row r="34" ht="12" customHeight="1">
      <c r="A34" s="364" t="n"/>
      <c r="B34" s="365" t="n"/>
      <c r="C34" s="365" t="n"/>
      <c r="D34" s="365" t="n"/>
      <c r="E34" s="388" t="inlineStr">
        <is>
          <t>Orifice</t>
        </is>
      </c>
      <c r="F34" s="365" t="n">
        <v>15</v>
      </c>
      <c r="G34" s="365" t="n"/>
      <c r="H34" s="365" t="n"/>
      <c r="I34" s="365" t="inlineStr">
        <is>
          <t>%</t>
        </is>
      </c>
      <c r="J34" s="365" t="n"/>
      <c r="K34" s="365" t="n"/>
      <c r="L34" s="389" t="n"/>
      <c r="M34" s="365" t="n"/>
      <c r="N34" s="365" t="n"/>
      <c r="O34" s="365" t="n"/>
      <c r="P34" s="366" t="n"/>
      <c r="Q34" s="364" t="n"/>
      <c r="R34" s="365" t="n"/>
      <c r="S34" s="365" t="n"/>
      <c r="T34" s="388" t="n"/>
      <c r="U34" s="365" t="n"/>
      <c r="V34" s="365" t="n"/>
      <c r="W34" s="365" t="n"/>
      <c r="X34" s="388" t="n"/>
      <c r="Y34" s="365" t="n"/>
      <c r="Z34" s="366" t="n"/>
      <c r="AA34" s="365" t="n"/>
      <c r="AB34" s="365" t="n"/>
      <c r="AC34" s="365" t="n"/>
      <c r="AD34" s="365" t="n"/>
      <c r="AE34" s="365" t="n"/>
      <c r="AF34" s="365" t="n"/>
      <c r="AG34" s="365" t="n"/>
      <c r="AH34" s="365" t="n"/>
      <c r="AI34" s="365" t="n"/>
      <c r="AJ34" s="365" t="n"/>
      <c r="AK34" s="365" t="n"/>
      <c r="AL34" s="365" t="n"/>
      <c r="AM34" s="365" t="n"/>
      <c r="AN34" s="365" t="n"/>
      <c r="AO34" s="365" t="n"/>
      <c r="AP34" s="365" t="n"/>
      <c r="AQ34" s="365" t="n"/>
      <c r="AR34" s="366" t="n"/>
    </row>
    <row r="35" ht="12" customHeight="1">
      <c r="A35" s="364" t="n"/>
      <c r="B35" s="365" t="n"/>
      <c r="C35" s="365" t="n"/>
      <c r="D35" s="365" t="n"/>
      <c r="E35" s="388" t="n"/>
      <c r="F35" s="365" t="n"/>
      <c r="G35" s="365" t="n"/>
      <c r="H35" s="365" t="n"/>
      <c r="I35" s="365" t="n"/>
      <c r="J35" s="365" t="n"/>
      <c r="K35" s="365" t="n"/>
      <c r="L35" s="389" t="n"/>
      <c r="M35" s="365" t="n"/>
      <c r="N35" s="365" t="n"/>
      <c r="O35" s="365" t="n"/>
      <c r="P35" s="366" t="n"/>
      <c r="Q35" s="364" t="n"/>
      <c r="R35" s="365" t="n"/>
      <c r="S35" s="365" t="n"/>
      <c r="T35" s="388" t="inlineStr">
        <is>
          <t>Water Temp:</t>
        </is>
      </c>
      <c r="U35" s="365" t="n">
        <v>90130</v>
      </c>
      <c r="V35" s="365" t="n"/>
      <c r="W35" s="365" t="n"/>
      <c r="Z35" s="366" t="n"/>
      <c r="AA35" s="365" t="n"/>
      <c r="AB35" s="365" t="n"/>
      <c r="AC35" s="365" t="n"/>
      <c r="AD35" s="365" t="n"/>
      <c r="AE35" s="365" t="n"/>
      <c r="AF35" s="365" t="n"/>
      <c r="AG35" s="365" t="n"/>
      <c r="AH35" s="365" t="n"/>
      <c r="AI35" s="365" t="n"/>
      <c r="AJ35" s="365" t="n"/>
      <c r="AK35" s="365" t="n"/>
      <c r="AL35" s="365" t="n"/>
      <c r="AM35" s="365" t="n"/>
      <c r="AN35" s="365" t="n"/>
      <c r="AO35" s="365" t="n"/>
      <c r="AP35" s="365" t="n"/>
      <c r="AQ35" s="365" t="n"/>
      <c r="AR35" s="366" t="n"/>
    </row>
    <row r="36" ht="12" customHeight="1">
      <c r="A36" s="364" t="n"/>
      <c r="B36" s="365" t="n"/>
      <c r="C36" s="365" t="n"/>
      <c r="D36" s="365" t="n"/>
      <c r="E36" s="388" t="inlineStr">
        <is>
          <t>Extruder Speed:</t>
        </is>
      </c>
      <c r="F36" s="389" t="n">
        <v>90</v>
      </c>
      <c r="G36" s="365" t="n"/>
      <c r="H36" s="365" t="n"/>
      <c r="I36" s="365" t="inlineStr">
        <is>
          <t>RPM</t>
        </is>
      </c>
      <c r="J36" s="365" t="n"/>
      <c r="K36" s="365" t="n"/>
      <c r="L36" s="389" t="inlineStr">
        <is>
          <t>+/5%</t>
        </is>
      </c>
      <c r="M36" s="365" t="n"/>
      <c r="N36" s="365" t="n"/>
      <c r="O36" s="365" t="n"/>
      <c r="P36" s="366" t="n"/>
      <c r="Q36" s="364" t="n"/>
      <c r="R36" s="365" t="n"/>
      <c r="S36" s="365" t="n"/>
      <c r="T36" s="388" t="inlineStr">
        <is>
          <t># Blades:</t>
        </is>
      </c>
      <c r="U36" s="365" t="n">
        <v>12</v>
      </c>
      <c r="V36" s="365" t="n"/>
      <c r="W36" s="365" t="n"/>
      <c r="Z36" s="366" t="n"/>
      <c r="AA36" s="365" t="n"/>
      <c r="AB36" s="365" t="n"/>
      <c r="AC36" s="365" t="n"/>
      <c r="AD36" s="365" t="n"/>
      <c r="AE36" s="365" t="n"/>
      <c r="AF36" s="365" t="n"/>
      <c r="AG36" s="365" t="n"/>
      <c r="AH36" s="365" t="n"/>
      <c r="AI36" s="365" t="n"/>
      <c r="AJ36" s="365" t="n"/>
      <c r="AK36" s="365" t="n"/>
      <c r="AL36" s="365" t="n"/>
      <c r="AM36" s="365" t="n"/>
      <c r="AN36" s="365" t="n"/>
      <c r="AO36" s="365" t="n"/>
      <c r="AP36" s="365" t="n"/>
      <c r="AQ36" s="365" t="n"/>
      <c r="AR36" s="366" t="n"/>
    </row>
    <row r="37" ht="12" customHeight="1">
      <c r="A37" s="364" t="n"/>
      <c r="B37" s="365" t="n"/>
      <c r="C37" s="365" t="n"/>
      <c r="D37" s="365" t="n"/>
      <c r="E37" s="388" t="inlineStr">
        <is>
          <t>Extruder Vacuum:</t>
        </is>
      </c>
      <c r="F37" s="365" t="inlineStr">
        <is>
          <t>&gt;24</t>
        </is>
      </c>
      <c r="G37" s="365" t="n"/>
      <c r="H37" s="365" t="n"/>
      <c r="I37" s="365" t="inlineStr">
        <is>
          <t>in Hg</t>
        </is>
      </c>
      <c r="J37" s="365" t="n"/>
      <c r="K37" s="365" t="n"/>
      <c r="L37" s="389" t="n"/>
      <c r="M37" s="365" t="n"/>
      <c r="N37" s="365" t="n"/>
      <c r="O37" s="365" t="n"/>
      <c r="P37" s="366" t="n"/>
      <c r="Q37" s="364" t="n"/>
      <c r="R37" s="365" t="n"/>
      <c r="S37" s="365" t="n"/>
      <c r="T37" s="388" t="inlineStr">
        <is>
          <t>Spring:</t>
        </is>
      </c>
      <c r="U37" s="365" t="inlineStr">
        <is>
          <t>Blue</t>
        </is>
      </c>
      <c r="V37" s="365" t="n"/>
      <c r="W37" s="365" t="n"/>
      <c r="Z37" s="366" t="n"/>
      <c r="AA37" s="365" t="n"/>
      <c r="AB37" s="365" t="n"/>
      <c r="AC37" s="365" t="n"/>
      <c r="AD37" s="365" t="n"/>
      <c r="AE37" s="365" t="n"/>
      <c r="AF37" s="365" t="n"/>
      <c r="AG37" s="365" t="n"/>
      <c r="AH37" s="365" t="n"/>
      <c r="AI37" s="365" t="n"/>
      <c r="AJ37" s="365" t="n"/>
      <c r="AK37" s="365" t="n"/>
      <c r="AL37" s="365" t="n"/>
      <c r="AM37" s="365" t="n"/>
      <c r="AN37" s="365" t="n"/>
      <c r="AO37" s="365" t="n"/>
      <c r="AP37" s="365" t="n"/>
      <c r="AQ37" s="365" t="n"/>
      <c r="AR37" s="366" t="n"/>
    </row>
    <row r="38" ht="12" customHeight="1">
      <c r="A38" s="364" t="n"/>
      <c r="B38" s="365" t="n"/>
      <c r="C38" s="365" t="n"/>
      <c r="D38" s="365" t="n"/>
      <c r="J38" s="365" t="n"/>
      <c r="K38" s="365" t="n"/>
      <c r="L38" s="389" t="n"/>
      <c r="M38" s="365" t="n"/>
      <c r="N38" s="365" t="n"/>
      <c r="O38" s="365" t="n"/>
      <c r="P38" s="366" t="n"/>
      <c r="Q38" s="364" t="n"/>
      <c r="R38" s="365" t="n"/>
      <c r="S38" s="365" t="n"/>
      <c r="T38" s="388" t="inlineStr">
        <is>
          <t>Cutter RPM:</t>
        </is>
      </c>
      <c r="U38" s="473" t="inlineStr">
        <is>
          <t>As Needed</t>
        </is>
      </c>
      <c r="V38" s="365" t="n"/>
      <c r="W38" s="365" t="n"/>
      <c r="X38" s="365" t="n"/>
      <c r="Y38" s="365" t="n"/>
      <c r="Z38" s="366" t="n"/>
      <c r="AA38" s="365" t="n"/>
      <c r="AB38" s="365" t="n"/>
      <c r="AC38" s="365" t="n"/>
      <c r="AD38" s="365" t="n"/>
      <c r="AE38" s="365" t="n"/>
      <c r="AF38" s="365" t="n"/>
      <c r="AG38" s="365" t="n"/>
      <c r="AH38" s="365" t="n"/>
      <c r="AI38" s="365" t="n"/>
      <c r="AJ38" s="365" t="n"/>
      <c r="AK38" s="365" t="n"/>
      <c r="AL38" s="365" t="n"/>
      <c r="AM38" s="365" t="n"/>
      <c r="AN38" s="365" t="n"/>
      <c r="AO38" s="365" t="n"/>
      <c r="AP38" s="365" t="n"/>
      <c r="AQ38" s="365" t="n"/>
      <c r="AR38" s="366" t="n"/>
    </row>
    <row r="39" ht="12" customHeight="1">
      <c r="A39" s="364" t="n"/>
      <c r="B39" s="365" t="n"/>
      <c r="C39" s="365" t="n"/>
      <c r="D39" s="365" t="n"/>
      <c r="E39" s="388" t="inlineStr">
        <is>
          <t>Screen Pack:</t>
        </is>
      </c>
      <c r="F39" s="365" t="inlineStr">
        <is>
          <t>24X110 DW</t>
        </is>
      </c>
      <c r="G39" s="365" t="n"/>
      <c r="H39" s="365" t="n"/>
      <c r="I39" s="365" t="n"/>
      <c r="J39" s="365" t="n"/>
      <c r="K39" s="365" t="n"/>
      <c r="L39" s="389" t="n"/>
      <c r="M39" s="365" t="n"/>
      <c r="N39" s="365" t="n"/>
      <c r="O39" s="365" t="n"/>
      <c r="P39" s="366" t="n"/>
      <c r="Q39" s="364" t="n"/>
      <c r="R39" s="365" t="n"/>
      <c r="S39" s="365" t="n"/>
      <c r="T39" s="388" t="inlineStr">
        <is>
          <t>Cutter AMPS:</t>
        </is>
      </c>
      <c r="U39" s="365" t="inlineStr">
        <is>
          <t>N/A</t>
        </is>
      </c>
      <c r="V39" s="365" t="n"/>
      <c r="W39" s="365" t="n"/>
      <c r="X39" s="388" t="n"/>
      <c r="Y39" s="365" t="n"/>
      <c r="Z39" s="366" t="n"/>
      <c r="AA39" s="365" t="n"/>
      <c r="AB39" s="365" t="n"/>
      <c r="AC39" s="365" t="n"/>
      <c r="AD39" s="365" t="n"/>
      <c r="AE39" s="365" t="n"/>
      <c r="AF39" s="365" t="n"/>
      <c r="AG39" s="365" t="n"/>
      <c r="AH39" s="365" t="n"/>
      <c r="AI39" s="365" t="n"/>
      <c r="AJ39" s="365" t="n"/>
      <c r="AK39" s="365" t="n"/>
      <c r="AL39" s="365" t="n"/>
      <c r="AM39" s="365" t="n"/>
      <c r="AN39" s="365" t="n"/>
      <c r="AO39" s="365" t="n"/>
      <c r="AP39" s="365" t="n"/>
      <c r="AQ39" s="365" t="n"/>
      <c r="AR39" s="366" t="n"/>
    </row>
    <row r="40" ht="12" customHeight="1">
      <c r="A40" s="364" t="n"/>
      <c r="B40" s="365" t="n"/>
      <c r="C40" s="365" t="n"/>
      <c r="D40" s="365" t="n"/>
      <c r="E40" s="388" t="inlineStr">
        <is>
          <t>Press Upstream:</t>
        </is>
      </c>
      <c r="F40" s="365" t="inlineStr">
        <is>
          <t>Record</t>
        </is>
      </c>
      <c r="G40" s="365" t="n"/>
      <c r="H40" s="365" t="n"/>
      <c r="I40" s="365" t="inlineStr">
        <is>
          <t>PSI</t>
        </is>
      </c>
      <c r="J40" s="365" t="n"/>
      <c r="K40" s="365" t="n"/>
      <c r="L40" s="389" t="n"/>
      <c r="M40" s="365" t="n"/>
      <c r="N40" s="365" t="n"/>
      <c r="O40" s="365" t="n"/>
      <c r="P40" s="366" t="n"/>
      <c r="Q40" s="364" t="n"/>
      <c r="R40" s="365" t="n"/>
      <c r="S40" s="365" t="n"/>
      <c r="T40" s="388" t="inlineStr">
        <is>
          <t>Blade Life:</t>
        </is>
      </c>
      <c r="U40" s="365" t="inlineStr">
        <is>
          <t>N/A</t>
        </is>
      </c>
      <c r="V40" s="365" t="n"/>
      <c r="W40" s="365" t="n"/>
      <c r="Z40" s="366" t="n"/>
      <c r="AA40" s="365" t="n"/>
      <c r="AB40" s="365" t="n"/>
      <c r="AC40" s="365" t="n"/>
      <c r="AD40" s="365" t="n"/>
      <c r="AE40" s="365" t="n"/>
      <c r="AF40" s="365" t="n"/>
      <c r="AG40" s="365" t="n"/>
      <c r="AH40" s="388" t="inlineStr">
        <is>
          <t>Scheduled Changeover @ EOJ:</t>
        </is>
      </c>
      <c r="AI40" s="365" t="n">
        <v>320</v>
      </c>
      <c r="AJ40" s="365" t="n"/>
      <c r="AK40" s="365" t="n"/>
      <c r="AL40" s="365" t="n"/>
      <c r="AM40" s="365" t="n"/>
      <c r="AN40" s="365" t="n"/>
      <c r="AO40" s="365" t="n"/>
      <c r="AP40" s="365" t="n"/>
      <c r="AQ40" s="365" t="n"/>
      <c r="AR40" s="366" t="n"/>
    </row>
    <row r="41" ht="12" customHeight="1">
      <c r="A41" s="364" t="n"/>
      <c r="B41" s="365" t="n"/>
      <c r="C41" s="365" t="n"/>
      <c r="D41" s="365" t="n"/>
      <c r="E41" s="388" t="inlineStr">
        <is>
          <t>Press Dnstream:</t>
        </is>
      </c>
      <c r="F41" s="365" t="inlineStr">
        <is>
          <t>Record</t>
        </is>
      </c>
      <c r="G41" s="365" t="n"/>
      <c r="H41" s="365" t="n"/>
      <c r="I41" s="365" t="inlineStr">
        <is>
          <t>PSI</t>
        </is>
      </c>
      <c r="J41" s="365" t="n"/>
      <c r="K41" s="365" t="n"/>
      <c r="L41" s="389" t="n"/>
      <c r="M41" s="365" t="n"/>
      <c r="N41" s="365" t="n"/>
      <c r="O41" s="365" t="n"/>
      <c r="P41" s="366" t="n"/>
      <c r="Q41" s="364" t="n"/>
      <c r="R41" s="365" t="n"/>
      <c r="S41" s="365" t="n"/>
      <c r="T41" s="388" t="inlineStr">
        <is>
          <t>ClassifierDeck</t>
        </is>
      </c>
      <c r="U41" s="365" t="inlineStr">
        <is>
          <t>xxx</t>
        </is>
      </c>
      <c r="V41" s="365" t="n"/>
      <c r="W41" s="365" t="n"/>
      <c r="X41" s="388" t="n"/>
      <c r="Y41" s="365" t="n"/>
      <c r="Z41" s="366" t="n"/>
      <c r="AA41" s="365" t="n"/>
      <c r="AB41" s="365" t="inlineStr">
        <is>
          <t>Changeover = Extreme w/Screw Pull</t>
        </is>
      </c>
      <c r="AC41" s="365" t="n"/>
      <c r="AD41" s="365" t="n"/>
      <c r="AE41" s="365" t="n"/>
      <c r="AF41" s="365" t="n"/>
      <c r="AG41" s="365" t="n"/>
      <c r="AH41" s="365" t="n"/>
      <c r="AI41" s="365" t="n"/>
      <c r="AJ41" s="365" t="n"/>
      <c r="AK41" s="365" t="n"/>
      <c r="AL41" s="365" t="n"/>
      <c r="AM41" s="365" t="n"/>
      <c r="AN41" s="365" t="n"/>
      <c r="AO41" s="365" t="n"/>
      <c r="AP41" s="365" t="n"/>
      <c r="AQ41" s="365" t="n"/>
      <c r="AR41" s="366" t="n"/>
    </row>
    <row r="42" ht="12" customHeight="1" thickBot="1">
      <c r="A42" s="371" t="n"/>
      <c r="B42" s="374" t="n"/>
      <c r="C42" s="374" t="n"/>
      <c r="D42" s="374" t="n"/>
      <c r="E42" s="416" t="n"/>
      <c r="F42" s="374" t="n"/>
      <c r="G42" s="374" t="n"/>
      <c r="H42" s="374" t="n"/>
      <c r="I42" s="374" t="n"/>
      <c r="J42" s="374" t="n"/>
      <c r="K42" s="374" t="n"/>
      <c r="L42" s="374" t="n"/>
      <c r="M42" s="374" t="n"/>
      <c r="N42" s="374" t="n"/>
      <c r="O42" s="374" t="n"/>
      <c r="P42" s="372" t="n"/>
      <c r="Q42" s="371" t="n"/>
      <c r="R42" s="374" t="n"/>
      <c r="S42" s="374" t="n"/>
      <c r="T42" s="374" t="n"/>
      <c r="U42" s="374" t="n"/>
      <c r="V42" s="374" t="n"/>
      <c r="W42" s="374" t="n"/>
      <c r="X42" s="374" t="n"/>
      <c r="Y42" s="374" t="n"/>
      <c r="Z42" s="372" t="n"/>
      <c r="AA42" s="374" t="n"/>
      <c r="AB42" s="374" t="n"/>
      <c r="AC42" s="414" t="inlineStr">
        <is>
          <t>Generate C/O comment dynamically</t>
        </is>
      </c>
      <c r="AD42" s="374" t="n"/>
      <c r="AE42" s="374" t="n"/>
      <c r="AF42" s="374" t="n"/>
      <c r="AG42" s="374" t="n"/>
      <c r="AH42" s="374" t="n"/>
      <c r="AI42" s="374" t="n"/>
      <c r="AJ42" s="374" t="n"/>
      <c r="AK42" s="374" t="n"/>
      <c r="AL42" s="374" t="n"/>
      <c r="AM42" s="374" t="n"/>
      <c r="AN42" s="374" t="n"/>
      <c r="AO42" s="374" t="n"/>
      <c r="AP42" s="374" t="n"/>
      <c r="AQ42" s="374" t="n"/>
      <c r="AR42" s="372" t="n"/>
    </row>
  </sheetData>
  <printOptions horizontalCentered="1"/>
  <pageMargins left="0.25" right="0.25" top="0.75" bottom="0.75" header="0.3" footer="0.3"/>
  <pageSetup orientation="landscape" paperSize="5"/>
  <headerFooter alignWithMargins="0">
    <oddHeader/>
    <oddFooter>&amp;L&amp;8 NETWORK LOCATION:  MPCI data\Forms\Production Forms&amp;R&amp;8 RETENTION REQUIREMENT:  Maintain with job packet for 3 years.</oddFooter>
    <evenHeader/>
    <evenFooter/>
    <firstHeader/>
    <firstFooter/>
  </headerFooter>
</worksheet>
</file>

<file path=xl/worksheets/sheet19.xml><?xml version="1.0" encoding="utf-8"?>
<worksheet xmlns="http://schemas.openxmlformats.org/spreadsheetml/2006/main">
  <sheetPr codeName="Sheet23">
    <outlinePr summaryBelow="1" summaryRight="1"/>
    <pageSetUpPr/>
  </sheetPr>
  <dimension ref="A1:AR42"/>
  <sheetViews>
    <sheetView showGridLines="0" zoomScale="115" zoomScaleNormal="115" zoomScaleSheetLayoutView="115" workbookViewId="0">
      <selection activeCell="N23" sqref="N23"/>
    </sheetView>
  </sheetViews>
  <sheetFormatPr baseColWidth="8" defaultColWidth="3.81640625" defaultRowHeight="12" customHeight="1"/>
  <cols>
    <col width="4.54296875" customWidth="1" style="333" min="1" max="1"/>
    <col width="3.81640625" customWidth="1" style="333" min="2" max="2"/>
    <col width="4.1796875" bestFit="1" customWidth="1" style="333" min="3" max="3"/>
    <col width="3.81640625" customWidth="1" style="333" min="4" max="5"/>
    <col width="6.1796875" bestFit="1" customWidth="1" style="333" min="6" max="6"/>
    <col width="3.81640625" customWidth="1" style="333" min="7" max="9"/>
    <col width="1.453125" customWidth="1" style="333" min="10" max="10"/>
    <col width="3.81640625" customWidth="1" style="333" min="11" max="13"/>
    <col width="1.81640625" customWidth="1" style="333" min="14" max="14"/>
    <col width="3.81640625" customWidth="1" style="333" min="15" max="18"/>
    <col width="2.7265625" customWidth="1" style="333" min="19" max="19"/>
    <col width="3.81640625" customWidth="1" style="333" min="20" max="20"/>
    <col width="7.1796875" bestFit="1" customWidth="1" style="333" min="21" max="21"/>
    <col width="3.81640625" customWidth="1" style="333" min="22" max="22"/>
    <col width="4.81640625" bestFit="1" customWidth="1" style="333" min="23" max="23"/>
    <col width="6.26953125" customWidth="1" style="333" min="24" max="24"/>
    <col width="3.81640625" customWidth="1" style="333" min="25" max="25"/>
    <col width="9.1796875" customWidth="1" style="333" min="26" max="26"/>
    <col width="3.81640625" customWidth="1" style="333" min="27" max="29"/>
    <col width="4.54296875" bestFit="1" customWidth="1" style="333" min="30" max="30"/>
    <col width="3.1796875" customWidth="1" style="333" min="31" max="31"/>
    <col width="3.81640625" customWidth="1" style="333" min="32" max="32"/>
    <col width="4.54296875" bestFit="1" customWidth="1" style="333" min="33" max="33"/>
    <col width="3.81640625" customWidth="1" style="333" min="34" max="34"/>
    <col width="4.1796875" bestFit="1" customWidth="1" style="333" min="35" max="35"/>
    <col width="3.81640625" customWidth="1" style="333" min="36" max="36"/>
    <col width="2.26953125" customWidth="1" style="333" min="37" max="38"/>
    <col width="2.453125" customWidth="1" style="333" min="39" max="39"/>
    <col width="3.81640625" customWidth="1" style="333" min="40" max="16384"/>
  </cols>
  <sheetData>
    <row r="1" ht="14" customHeight="1">
      <c r="A1" s="397" t="inlineStr">
        <is>
          <t>PARAMETER SPECIFICATION SHEET</t>
        </is>
      </c>
      <c r="B1" s="351" t="n"/>
      <c r="C1" s="351" t="n"/>
      <c r="D1" s="351" t="n"/>
      <c r="E1" s="351" t="n"/>
      <c r="F1" s="351" t="n"/>
      <c r="G1" s="351" t="n"/>
      <c r="H1" s="351" t="n"/>
      <c r="I1" s="352" t="n"/>
      <c r="J1" s="353" t="n"/>
      <c r="K1" s="396" t="inlineStr">
        <is>
          <t>FRM-103</t>
        </is>
      </c>
      <c r="L1" s="351" t="n"/>
      <c r="M1" s="351" t="n"/>
      <c r="N1" s="352" t="n"/>
      <c r="O1" s="353" t="n"/>
      <c r="P1" s="406" t="inlineStr">
        <is>
          <t>Revision Level:</t>
        </is>
      </c>
      <c r="Q1" s="406" t="n"/>
      <c r="R1" s="351" t="n"/>
      <c r="S1" s="351" t="n"/>
      <c r="T1" s="395" t="n">
        <v>10</v>
      </c>
      <c r="U1" s="407" t="inlineStr">
        <is>
          <t>Issue Date:</t>
        </is>
      </c>
      <c r="V1" s="351" t="n"/>
      <c r="W1" s="351" t="n"/>
      <c r="X1" s="394" t="inlineStr">
        <is>
          <t>1/9/2023</t>
        </is>
      </c>
      <c r="Y1" s="351" t="n"/>
      <c r="Z1" s="351" t="n"/>
      <c r="AA1" s="351" t="n"/>
      <c r="AB1" s="408" t="inlineStr">
        <is>
          <t>Process Step #5</t>
        </is>
      </c>
      <c r="AC1" s="335" t="n"/>
      <c r="AD1" s="335" t="n"/>
      <c r="AE1" s="335" t="n"/>
      <c r="AF1" s="335" t="n"/>
      <c r="AG1" s="335" t="n"/>
      <c r="AH1" s="354" t="n"/>
      <c r="AI1" s="393" t="inlineStr">
        <is>
          <t>Confidentional Information</t>
        </is>
      </c>
      <c r="AJ1" s="335" t="n"/>
      <c r="AK1" s="335" t="n"/>
      <c r="AL1" s="335" t="n"/>
      <c r="AM1" s="335" t="n"/>
      <c r="AN1" s="335" t="n"/>
      <c r="AO1" s="335" t="n"/>
      <c r="AP1" s="460" t="n"/>
      <c r="AQ1" s="461" t="n"/>
      <c r="AR1" s="462" t="n"/>
    </row>
    <row r="2" ht="14" customHeight="1">
      <c r="A2" s="403" t="inlineStr">
        <is>
          <t>Reviewed by:</t>
        </is>
      </c>
      <c r="B2" s="342" t="n"/>
      <c r="C2" s="342" t="n"/>
      <c r="D2" s="404" t="inlineStr">
        <is>
          <t>Lynn Newton</t>
        </is>
      </c>
      <c r="E2" s="342" t="n"/>
      <c r="F2" s="342" t="n"/>
      <c r="G2" s="350" t="n"/>
      <c r="H2" s="341" t="n"/>
      <c r="I2" s="342" t="n"/>
      <c r="J2" s="342" t="n"/>
      <c r="K2" s="405" t="inlineStr">
        <is>
          <t>Approved by:</t>
        </is>
      </c>
      <c r="L2" s="404" t="inlineStr">
        <is>
          <t>D. Beckman</t>
        </is>
      </c>
      <c r="M2" s="342" t="n"/>
      <c r="N2" s="343" t="n"/>
      <c r="O2" s="341" t="n"/>
      <c r="P2" s="404" t="inlineStr">
        <is>
          <t>Reference:</t>
        </is>
      </c>
      <c r="Q2" s="404" t="n"/>
      <c r="R2" s="342" t="n"/>
      <c r="S2" s="391" t="inlineStr">
        <is>
          <t>Compounding Operations PRO-012</t>
        </is>
      </c>
      <c r="T2" s="342" t="n"/>
      <c r="U2" s="342" t="n"/>
      <c r="V2" s="342" t="n"/>
      <c r="W2" s="342" t="n"/>
      <c r="X2" s="342" t="n"/>
      <c r="Y2" s="342" t="n"/>
      <c r="Z2" s="342" t="n"/>
      <c r="AA2" s="343" t="n"/>
      <c r="AB2" s="392" t="inlineStr">
        <is>
          <t>"Compounding &amp; Pelletizing"</t>
        </is>
      </c>
      <c r="AC2" s="348" t="n"/>
      <c r="AD2" s="348" t="n"/>
      <c r="AE2" s="348" t="n"/>
      <c r="AF2" s="348" t="n"/>
      <c r="AG2" s="348" t="n"/>
      <c r="AH2" s="349" t="n"/>
      <c r="AI2" s="347" t="n"/>
      <c r="AJ2" s="348" t="n"/>
      <c r="AK2" s="348" t="n"/>
      <c r="AL2" s="348" t="n"/>
      <c r="AM2" s="348" t="n"/>
      <c r="AN2" s="348" t="n"/>
      <c r="AO2" s="348" t="n"/>
      <c r="AP2" s="454">
        <f>NOW()</f>
        <v/>
      </c>
      <c r="AQ2" s="455" t="n"/>
      <c r="AR2" s="456" t="n"/>
    </row>
    <row r="3" ht="12" customHeight="1">
      <c r="A3" s="402" t="inlineStr">
        <is>
          <t>Product Type:</t>
        </is>
      </c>
      <c r="B3" s="345" t="n"/>
      <c r="C3" s="345" t="n"/>
      <c r="D3" s="390">
        <f>IF(GradeColor&lt;&gt;0,GradeColor,"")</f>
        <v/>
      </c>
      <c r="E3" s="345" t="n"/>
      <c r="F3" s="345" t="n"/>
      <c r="G3" s="345" t="n"/>
      <c r="H3" s="345" t="n"/>
      <c r="I3" s="345" t="n"/>
      <c r="J3" s="345" t="n"/>
      <c r="K3" s="345" t="n"/>
      <c r="L3" s="345" t="n"/>
      <c r="M3" s="345" t="n"/>
      <c r="N3" s="346" t="n"/>
      <c r="O3" s="344" t="n"/>
      <c r="P3" s="345" t="n"/>
      <c r="Q3" s="345" t="n"/>
      <c r="R3" s="400" t="inlineStr">
        <is>
          <t>Production Line:</t>
        </is>
      </c>
      <c r="S3" s="390">
        <f>IF(ProductionLineNumber&lt;&gt;0,ProductionLineNumber,"")</f>
        <v/>
      </c>
      <c r="T3" s="345" t="n"/>
      <c r="U3" s="346" t="n"/>
      <c r="V3" s="344" t="n"/>
      <c r="W3" s="345" t="n"/>
      <c r="X3" s="345" t="n"/>
      <c r="Y3" s="400" t="inlineStr">
        <is>
          <t>Amt Scheduled:</t>
        </is>
      </c>
      <c r="Z3" s="947">
        <f>IF(ScheduledAmount&lt;&gt;0,ScheduledAmount,"")</f>
        <v/>
      </c>
      <c r="AA3" s="345" t="n"/>
      <c r="AB3" s="345" t="n"/>
      <c r="AC3" s="345" t="n"/>
      <c r="AD3" s="345" t="n"/>
      <c r="AE3" s="346" t="n"/>
      <c r="AF3" s="344" t="n"/>
      <c r="AG3" s="345" t="n"/>
      <c r="AH3" s="400" t="inlineStr">
        <is>
          <t>Prepared By:</t>
        </is>
      </c>
      <c r="AI3" s="390">
        <f>IF(AuthorName&lt;&gt;0,AuthorName,"")</f>
        <v/>
      </c>
      <c r="AJ3" s="345" t="n"/>
      <c r="AK3" s="345" t="n"/>
      <c r="AL3" s="345" t="n"/>
      <c r="AM3" s="345" t="n"/>
      <c r="AN3" s="400" t="inlineStr">
        <is>
          <t>Checked By:</t>
        </is>
      </c>
      <c r="AO3" s="390" t="n"/>
      <c r="AP3" s="345" t="n"/>
      <c r="AQ3" s="345" t="n"/>
      <c r="AR3" s="357" t="n"/>
    </row>
    <row r="4" ht="12" customHeight="1" thickBot="1">
      <c r="A4" s="420" t="inlineStr">
        <is>
          <t>Description:</t>
        </is>
      </c>
      <c r="B4" s="339" t="n"/>
      <c r="C4" s="339" t="n"/>
      <c r="D4" s="374" t="n"/>
      <c r="E4" s="339" t="n"/>
      <c r="F4" s="339" t="n"/>
      <c r="G4" s="339" t="n"/>
      <c r="H4" s="339" t="n"/>
      <c r="I4" s="339" t="n"/>
      <c r="J4" s="339" t="n"/>
      <c r="K4" s="339" t="n"/>
      <c r="L4" s="339" t="n"/>
      <c r="M4" s="339" t="n"/>
      <c r="N4" s="358" t="n"/>
      <c r="O4" s="359" t="n"/>
      <c r="P4" s="339" t="n"/>
      <c r="Q4" s="339" t="n"/>
      <c r="R4" s="401" t="inlineStr">
        <is>
          <t>Job Number:</t>
        </is>
      </c>
      <c r="S4" s="374">
        <f>IF(JobNumber&lt;&gt;0,JobNumber,"")</f>
        <v/>
      </c>
      <c r="T4" s="339" t="n"/>
      <c r="U4" s="358" t="n"/>
      <c r="V4" s="359" t="n"/>
      <c r="W4" s="339" t="n"/>
      <c r="X4" s="339" t="n"/>
      <c r="Y4" s="401" t="inlineStr">
        <is>
          <t>Lot Number:</t>
        </is>
      </c>
      <c r="Z4" s="374">
        <f>IF(LotOrCampaignNumber&lt;&gt;0,LotOrCampaignNumber,"")</f>
        <v/>
      </c>
      <c r="AA4" s="339" t="n"/>
      <c r="AB4" s="339" t="n"/>
      <c r="AC4" s="339" t="n"/>
      <c r="AD4" s="339" t="n"/>
      <c r="AE4" s="358" t="n"/>
      <c r="AF4" s="359" t="n"/>
      <c r="AG4" s="339" t="n"/>
      <c r="AH4" s="339" t="n"/>
      <c r="AI4" s="339" t="n"/>
      <c r="AJ4" s="339" t="n"/>
      <c r="AK4" s="339" t="n"/>
      <c r="AL4" s="339" t="n"/>
      <c r="AM4" s="339" t="n"/>
      <c r="AN4" s="339" t="n"/>
      <c r="AO4" s="339" t="n"/>
      <c r="AP4" s="339" t="n"/>
      <c r="AQ4" s="339" t="n"/>
      <c r="AR4" s="340" t="n"/>
    </row>
    <row r="5" ht="12" customHeight="1">
      <c r="A5" s="334" t="n"/>
      <c r="B5" s="335" t="n"/>
      <c r="C5" s="335" t="n"/>
      <c r="D5" s="369" t="inlineStr">
        <is>
          <t>TEMPERATURES</t>
        </is>
      </c>
      <c r="E5" s="335" t="n"/>
      <c r="F5" s="335" t="n"/>
      <c r="G5" s="335" t="n"/>
      <c r="H5" s="335" t="n"/>
      <c r="I5" s="335" t="n"/>
      <c r="J5" s="335" t="n"/>
      <c r="K5" s="335" t="n"/>
      <c r="L5" s="334" t="n"/>
      <c r="M5" s="335" t="n"/>
      <c r="N5" s="335" t="n"/>
      <c r="O5" s="335" t="n"/>
      <c r="P5" s="335" t="n"/>
      <c r="Q5" s="335" t="n"/>
      <c r="R5" s="335" t="n"/>
      <c r="S5" s="335" t="n"/>
      <c r="T5" s="335" t="n"/>
      <c r="U5" s="335" t="n"/>
      <c r="V5" s="361" t="n"/>
      <c r="W5" s="363" t="inlineStr">
        <is>
          <t>Major Parameter Changes Require Additional QC/Color Testing and Material Inspection Prior to Packout</t>
        </is>
      </c>
      <c r="AR5" s="337" t="n"/>
    </row>
    <row r="6" ht="12" customHeight="1">
      <c r="A6" s="399" t="inlineStr">
        <is>
          <t>Acceptable Temperature Range = SetPt ± 50</t>
        </is>
      </c>
      <c r="B6" s="348" t="n"/>
      <c r="C6" s="348" t="n"/>
      <c r="D6" s="348" t="n"/>
      <c r="E6" s="348" t="n"/>
      <c r="F6" s="348" t="n"/>
      <c r="G6" s="348" t="n"/>
      <c r="H6" s="348" t="n"/>
      <c r="I6" s="348" t="n"/>
      <c r="J6" s="348" t="n"/>
      <c r="K6" s="348" t="n"/>
      <c r="L6" s="360" t="n"/>
      <c r="M6" s="348" t="n"/>
      <c r="N6" s="398" t="inlineStr">
        <is>
          <t>FEEDER SETTINGS</t>
        </is>
      </c>
      <c r="O6" s="348" t="n"/>
      <c r="P6" s="348" t="n"/>
      <c r="Q6" s="348" t="n"/>
      <c r="R6" s="348" t="n"/>
      <c r="S6" s="348" t="n"/>
      <c r="T6" s="348" t="n"/>
      <c r="U6" s="348" t="n"/>
      <c r="V6" s="355" t="n"/>
      <c r="W6" s="365" t="inlineStr">
        <is>
          <t>(e.g. Rate Change &gt; +/- 5%, Rework Rate Change &gt; +/- 5%, Staged vs. Generated Rework, etc)</t>
        </is>
      </c>
      <c r="AR6" s="337" t="n"/>
    </row>
    <row r="7" ht="12" customHeight="1">
      <c r="A7" s="356" t="n"/>
      <c r="B7" s="345" t="n"/>
      <c r="C7" s="345" t="n"/>
      <c r="D7" s="357" t="n"/>
      <c r="L7" s="336" t="n"/>
      <c r="V7" s="337" t="n"/>
      <c r="W7" s="356" t="n"/>
      <c r="X7" s="345" t="inlineStr">
        <is>
          <t>Feeder</t>
        </is>
      </c>
      <c r="Y7" s="345" t="n"/>
      <c r="Z7" s="357" t="n"/>
      <c r="AA7" s="356" t="n"/>
      <c r="AB7" s="357" t="n"/>
      <c r="AC7" s="356" t="inlineStr">
        <is>
          <t>Calibration</t>
        </is>
      </c>
      <c r="AD7" s="345" t="n"/>
      <c r="AE7" s="357" t="n"/>
      <c r="AF7" s="356" t="n"/>
      <c r="AG7" s="345" t="inlineStr">
        <is>
          <t>Refill</t>
        </is>
      </c>
      <c r="AH7" s="345" t="n"/>
      <c r="AI7" s="357" t="n"/>
      <c r="AJ7" s="356" t="inlineStr">
        <is>
          <t>Actual</t>
        </is>
      </c>
      <c r="AK7" s="345" t="n"/>
      <c r="AL7" s="345" t="n"/>
      <c r="AM7" s="357" t="n"/>
      <c r="AN7" s="356" t="inlineStr">
        <is>
          <t>Drop Test (SetPt +/- 5%)</t>
        </is>
      </c>
      <c r="AO7" s="345" t="n"/>
      <c r="AP7" s="345" t="n"/>
      <c r="AQ7" s="345" t="n"/>
      <c r="AR7" s="357" t="n"/>
    </row>
    <row r="8" ht="12" customHeight="1" thickBot="1">
      <c r="A8" s="371" t="inlineStr">
        <is>
          <t>Zone</t>
        </is>
      </c>
      <c r="B8" s="339" t="n"/>
      <c r="C8" s="374" t="inlineStr">
        <is>
          <t>SetPt</t>
        </is>
      </c>
      <c r="D8" s="340" t="n"/>
      <c r="E8" s="339" t="n"/>
      <c r="F8" s="374" t="inlineStr">
        <is>
          <t>Change</t>
        </is>
      </c>
      <c r="G8" s="339" t="n"/>
      <c r="H8" s="339" t="n"/>
      <c r="I8" s="339" t="n"/>
      <c r="J8" s="339" t="n"/>
      <c r="K8" s="339" t="n"/>
      <c r="L8" s="338" t="n"/>
      <c r="M8" s="339" t="n"/>
      <c r="N8" s="339" t="n"/>
      <c r="O8" s="374" t="inlineStr">
        <is>
          <t>Material</t>
        </is>
      </c>
      <c r="P8" s="339" t="n"/>
      <c r="Q8" s="339" t="n"/>
      <c r="R8" s="339" t="n"/>
      <c r="S8" s="339" t="n"/>
      <c r="T8" s="339" t="n"/>
      <c r="U8" s="374" t="inlineStr">
        <is>
          <t>%</t>
        </is>
      </c>
      <c r="V8" s="340" t="n"/>
      <c r="W8" s="338" t="n"/>
      <c r="X8" s="339" t="inlineStr">
        <is>
          <t>Agitator</t>
        </is>
      </c>
      <c r="Y8" s="359" t="inlineStr">
        <is>
          <t>Screw/Tube mm</t>
        </is>
      </c>
      <c r="Z8" s="339" t="n"/>
      <c r="AA8" s="338" t="inlineStr">
        <is>
          <t>Switch</t>
        </is>
      </c>
      <c r="AB8" s="340" t="n"/>
      <c r="AC8" s="338" t="inlineStr">
        <is>
          <t>Drive Comm</t>
        </is>
      </c>
      <c r="AD8" s="339" t="n"/>
      <c r="AE8" s="340" t="n"/>
      <c r="AF8" s="338" t="n"/>
      <c r="AG8" s="339" t="inlineStr">
        <is>
          <t>Min/Max</t>
        </is>
      </c>
      <c r="AH8" s="339" t="n"/>
      <c r="AI8" s="340" t="n"/>
      <c r="AJ8" s="338" t="inlineStr">
        <is>
          <t>Drive Comm</t>
        </is>
      </c>
      <c r="AK8" s="339" t="n"/>
      <c r="AL8" s="339" t="n"/>
      <c r="AM8" s="340" t="n"/>
      <c r="AN8" s="338" t="inlineStr">
        <is>
          <t>Set Point</t>
        </is>
      </c>
      <c r="AO8" s="339" t="n"/>
      <c r="AP8" s="340" t="n"/>
      <c r="AQ8" s="339" t="inlineStr">
        <is>
          <t>Actual</t>
        </is>
      </c>
      <c r="AR8" s="340" t="n"/>
    </row>
    <row r="9" ht="12" customHeight="1">
      <c r="A9" s="413">
        <f>IF(PktTSZ1Lbl&lt;&gt;0,PktTSZ1Lbl,"")</f>
        <v/>
      </c>
      <c r="B9" s="365" t="n"/>
      <c r="C9" s="365">
        <f>IF(PktTSZ1SetPt&lt;&gt;0,PktTSZ1SetPt,"")</f>
        <v/>
      </c>
      <c r="D9" s="366" t="n"/>
      <c r="E9" s="365" t="n"/>
      <c r="F9" s="365" t="n"/>
      <c r="G9" s="365" t="n"/>
      <c r="H9" s="365" t="n"/>
      <c r="I9" s="365" t="n"/>
      <c r="J9" s="365" t="n"/>
      <c r="K9" s="365" t="n"/>
      <c r="L9" s="367" t="inlineStr">
        <is>
          <t>F-1</t>
        </is>
      </c>
      <c r="M9" s="368" t="n"/>
      <c r="N9" s="367">
        <f>IF(Feeder1RMname&lt;&gt;0,Feeder1RMname,"")</f>
        <v/>
      </c>
      <c r="O9" s="369" t="n"/>
      <c r="P9" s="369" t="n"/>
      <c r="Q9" s="369" t="n"/>
      <c r="R9" s="369" t="n"/>
      <c r="S9" s="368" t="n"/>
      <c r="T9" s="370" t="n"/>
      <c r="U9" s="948">
        <f>IF(Feeder1Parts&lt;&gt;0,Feeder1Parts,"")</f>
        <v/>
      </c>
      <c r="V9" s="368" t="n"/>
      <c r="W9" s="417" t="n"/>
      <c r="X9" s="449">
        <f>IF(PktTSF1Agit&lt;&gt;0,PktTSF1Agit,"")</f>
        <v/>
      </c>
      <c r="Y9" s="418" t="n"/>
      <c r="Z9" s="429">
        <f>IF(PktTSF1Tube&lt;&gt;0,PktTSF1Tube,"")</f>
        <v/>
      </c>
      <c r="AA9" s="370">
        <f>IF(PktTSF1Switch&lt;&gt;0,PktTSF1Switch,"")</f>
        <v/>
      </c>
      <c r="AB9" s="368" t="n"/>
      <c r="AC9" s="370" t="n"/>
      <c r="AD9" s="411">
        <f>IF(PktTSF1CalDriv&lt;&gt;0,PktTSF1CalDriv,"")</f>
        <v/>
      </c>
      <c r="AE9" s="368" t="n"/>
      <c r="AF9" s="370" t="n"/>
      <c r="AG9" s="452">
        <f>IF(PktTSF1Refill&lt;&gt;0,PktTSF1Refill,"")</f>
        <v/>
      </c>
      <c r="AH9" s="369" t="n"/>
      <c r="AI9" s="368" t="n"/>
      <c r="AJ9" s="370" t="n"/>
      <c r="AK9" s="369" t="n"/>
      <c r="AL9" s="369" t="n"/>
      <c r="AM9" s="368" t="n"/>
      <c r="AN9" s="370" t="n"/>
      <c r="AO9" s="369" t="n"/>
      <c r="AP9" s="368" t="n"/>
      <c r="AQ9" s="370" t="n"/>
      <c r="AR9" s="368" t="n"/>
    </row>
    <row r="10" ht="12" customHeight="1" thickBot="1">
      <c r="A10" s="413">
        <f>IF(PktTSZ2Lbl&lt;&gt;0,PktTSZ2Lbl,"")</f>
        <v/>
      </c>
      <c r="B10" s="365" t="n"/>
      <c r="C10" s="365">
        <f>IF(PktTSZ2SetPt&lt;&gt;0,PktTSZ2SetPt,"")</f>
        <v/>
      </c>
      <c r="D10" s="366" t="n"/>
      <c r="E10" s="365" t="n"/>
      <c r="F10" s="365" t="n"/>
      <c r="G10" s="365" t="n"/>
      <c r="H10" s="365" t="n"/>
      <c r="I10" s="365" t="n"/>
      <c r="J10" s="365" t="n"/>
      <c r="K10" s="365" t="n"/>
      <c r="L10" s="371" t="n"/>
      <c r="M10" s="372" t="n"/>
      <c r="N10" s="373" t="n"/>
      <c r="O10" s="374" t="n"/>
      <c r="P10" s="374" t="n"/>
      <c r="Q10" s="374" t="n"/>
      <c r="R10" s="374" t="n"/>
      <c r="S10" s="372" t="n"/>
      <c r="T10" s="371" t="n"/>
      <c r="U10" s="949" t="n"/>
      <c r="V10" s="372" t="n"/>
      <c r="W10" s="371" t="n"/>
      <c r="X10" s="450" t="n"/>
      <c r="Y10" s="419" t="n"/>
      <c r="Z10" s="430" t="n"/>
      <c r="AA10" s="371" t="n"/>
      <c r="AB10" s="372" t="n"/>
      <c r="AC10" s="371" t="n"/>
      <c r="AD10" s="412" t="n"/>
      <c r="AE10" s="372" t="n"/>
      <c r="AF10" s="371" t="n"/>
      <c r="AG10" s="453" t="n"/>
      <c r="AH10" s="374" t="n"/>
      <c r="AI10" s="372" t="n"/>
      <c r="AJ10" s="371" t="n"/>
      <c r="AK10" s="374" t="n"/>
      <c r="AL10" s="374" t="n"/>
      <c r="AM10" s="372" t="n"/>
      <c r="AN10" s="371" t="n"/>
      <c r="AO10" s="374" t="n"/>
      <c r="AP10" s="372" t="n"/>
      <c r="AQ10" s="371" t="n"/>
      <c r="AR10" s="372" t="n"/>
    </row>
    <row r="11" ht="12" customHeight="1">
      <c r="A11" s="413">
        <f>IF(PktTSZ3Lbl&lt;&gt;0,PktTSZ3Lbl,"")</f>
        <v/>
      </c>
      <c r="B11" s="376" t="n"/>
      <c r="C11" s="365">
        <f>IF(PktTSZ3SetPt&lt;&gt;0,PktTSZ3SetPt,"")</f>
        <v/>
      </c>
      <c r="D11" s="377" t="n"/>
      <c r="E11" s="378" t="n"/>
      <c r="F11" s="378" t="n"/>
      <c r="G11" s="378" t="n"/>
      <c r="H11" s="378" t="n"/>
      <c r="I11" s="378" t="n"/>
      <c r="J11" s="378" t="n"/>
      <c r="K11" s="378" t="n"/>
      <c r="L11" s="379" t="inlineStr">
        <is>
          <t>F-2</t>
        </is>
      </c>
      <c r="M11" s="380" t="n"/>
      <c r="N11" s="367">
        <f>IF(Feeder2RMname&lt;&gt;0,Feeder2RMname,"")</f>
        <v/>
      </c>
      <c r="O11" s="381" t="n"/>
      <c r="P11" s="381" t="n"/>
      <c r="Q11" s="381" t="n"/>
      <c r="R11" s="369" t="n"/>
      <c r="S11" s="368" t="n"/>
      <c r="T11" s="370" t="n"/>
      <c r="U11" s="948">
        <f>IF(Feeder2Parts&lt;&gt;0,Feeder2Parts,"")</f>
        <v/>
      </c>
      <c r="V11" s="368" t="n"/>
      <c r="W11" s="417" t="n"/>
      <c r="X11" s="449">
        <f>IF(PktTSF2Agit&lt;&gt;0,PktTSF2Agit,"")</f>
        <v/>
      </c>
      <c r="Y11" s="418" t="n"/>
      <c r="Z11" s="429">
        <f>IF(PktTSF2Tube&lt;&gt;0,PktTSF2Tube,"")</f>
        <v/>
      </c>
      <c r="AA11" s="370">
        <f>IF(PktTSF2Switch&lt;&gt;0,PktTSF2Switch,"")</f>
        <v/>
      </c>
      <c r="AB11" s="368" t="n"/>
      <c r="AC11" s="370" t="n"/>
      <c r="AD11" s="411">
        <f>IF(PktTSF2CalDriv&lt;&gt;0,PktTSF2CalDriv,"")</f>
        <v/>
      </c>
      <c r="AE11" s="368" t="n"/>
      <c r="AF11" s="370" t="n"/>
      <c r="AG11" s="452">
        <f>IF(PktTSF2Refill&lt;&gt;0,PktTSF2Refill,"")</f>
        <v/>
      </c>
      <c r="AH11" s="369" t="n"/>
      <c r="AI11" s="368" t="n"/>
      <c r="AJ11" s="370" t="n"/>
      <c r="AK11" s="369" t="n"/>
      <c r="AL11" s="369" t="n"/>
      <c r="AM11" s="368" t="n"/>
      <c r="AN11" s="370" t="n"/>
      <c r="AO11" s="369" t="n"/>
      <c r="AP11" s="368" t="n"/>
      <c r="AQ11" s="370" t="n"/>
      <c r="AR11" s="368" t="n"/>
    </row>
    <row r="12" ht="12" customHeight="1" thickBot="1">
      <c r="A12" s="413">
        <f>IF(PktTSZ4Lbl&lt;&gt;0,PktTSZ4Lbl,"")</f>
        <v/>
      </c>
      <c r="B12" s="376" t="n"/>
      <c r="C12" s="365">
        <f>IF(PktTSZ4SetPt&lt;&gt;0,PktTSZ4SetPt,"")</f>
        <v/>
      </c>
      <c r="D12" s="377" t="n"/>
      <c r="E12" s="378" t="n"/>
      <c r="F12" s="378" t="n"/>
      <c r="G12" s="378" t="n"/>
      <c r="H12" s="378" t="n"/>
      <c r="I12" s="378" t="n"/>
      <c r="J12" s="378" t="n"/>
      <c r="K12" s="378" t="n"/>
      <c r="L12" s="382" t="n"/>
      <c r="M12" s="383" t="n"/>
      <c r="N12" s="384" t="n"/>
      <c r="O12" s="385" t="n"/>
      <c r="P12" s="385" t="n"/>
      <c r="Q12" s="385" t="n"/>
      <c r="R12" s="374" t="n"/>
      <c r="S12" s="372" t="n"/>
      <c r="T12" s="371" t="n"/>
      <c r="U12" s="949" t="n"/>
      <c r="V12" s="372" t="n"/>
      <c r="W12" s="371" t="n"/>
      <c r="X12" s="450" t="n"/>
      <c r="Y12" s="419" t="n"/>
      <c r="Z12" s="430" t="n"/>
      <c r="AA12" s="371" t="n"/>
      <c r="AB12" s="372" t="n"/>
      <c r="AC12" s="371" t="n"/>
      <c r="AD12" s="412" t="n"/>
      <c r="AE12" s="372" t="n"/>
      <c r="AF12" s="371" t="n"/>
      <c r="AG12" s="453" t="n"/>
      <c r="AH12" s="374" t="n"/>
      <c r="AI12" s="372" t="n"/>
      <c r="AJ12" s="371" t="n"/>
      <c r="AK12" s="374" t="n"/>
      <c r="AL12" s="374" t="n"/>
      <c r="AM12" s="372" t="n"/>
      <c r="AN12" s="371" t="n"/>
      <c r="AO12" s="374" t="n"/>
      <c r="AP12" s="372" t="n"/>
      <c r="AQ12" s="371" t="n"/>
      <c r="AR12" s="372" t="n"/>
    </row>
    <row r="13" ht="12" customHeight="1">
      <c r="A13" s="413">
        <f>IF(PktTSZ5Lbl&lt;&gt;0,PktTSZ5Lbl,"")</f>
        <v/>
      </c>
      <c r="B13" s="365" t="n"/>
      <c r="C13" s="365">
        <f>IF(PktTSZ5SetPt&lt;&gt;0,PktTSZ5SetPt,"")</f>
        <v/>
      </c>
      <c r="D13" s="366" t="n"/>
      <c r="E13" s="365" t="n"/>
      <c r="F13" s="365" t="n"/>
      <c r="G13" s="365" t="n"/>
      <c r="H13" s="365" t="n"/>
      <c r="I13" s="365" t="n"/>
      <c r="J13" s="365" t="n"/>
      <c r="K13" s="365" t="n"/>
      <c r="L13" s="367" t="inlineStr">
        <is>
          <t>F-3</t>
        </is>
      </c>
      <c r="M13" s="368" t="n"/>
      <c r="N13" s="367">
        <f>IF(Feeder3RMname&lt;&gt;0,Feeder3RMname,"")</f>
        <v/>
      </c>
      <c r="O13" s="369" t="n"/>
      <c r="P13" s="369" t="n"/>
      <c r="Q13" s="369" t="n"/>
      <c r="R13" s="369" t="n"/>
      <c r="S13" s="368" t="n"/>
      <c r="T13" s="370" t="n"/>
      <c r="U13" s="948">
        <f>IF(Feeder3Parts&lt;&gt;0,Feeder3Parts,"")</f>
        <v/>
      </c>
      <c r="V13" s="368" t="n"/>
      <c r="W13" s="417" t="n"/>
      <c r="X13" s="449">
        <f>IF(PktTSF3Agit&lt;&gt;0,PktTSF3Agit,"")</f>
        <v/>
      </c>
      <c r="Y13" s="418" t="n"/>
      <c r="Z13" s="429">
        <f>IF(PktTSF3Tube&lt;&gt;0,PktTSF3Tube,"")</f>
        <v/>
      </c>
      <c r="AA13" s="370">
        <f>IF(PktTSF3Switch&lt;&gt;0,PktTSF3Switch,"")</f>
        <v/>
      </c>
      <c r="AB13" s="368" t="n"/>
      <c r="AC13" s="370" t="n"/>
      <c r="AD13" s="411">
        <f>IF(PktTSF3CalDriv&lt;&gt;0,PktTSF3CalDriv,"")</f>
        <v/>
      </c>
      <c r="AE13" s="368" t="n"/>
      <c r="AF13" s="370" t="n"/>
      <c r="AG13" s="452">
        <f>IF(PktTSF3Refill&lt;&gt;0,PktTSF3Refill,"")</f>
        <v/>
      </c>
      <c r="AH13" s="369" t="n"/>
      <c r="AI13" s="368" t="n"/>
      <c r="AJ13" s="370" t="n"/>
      <c r="AK13" s="369" t="n"/>
      <c r="AL13" s="369" t="n"/>
      <c r="AM13" s="368" t="n"/>
      <c r="AN13" s="370" t="n"/>
      <c r="AO13" s="369" t="n"/>
      <c r="AP13" s="368" t="n"/>
      <c r="AQ13" s="370" t="n"/>
      <c r="AR13" s="368" t="n"/>
    </row>
    <row r="14" ht="12" customHeight="1" thickBot="1">
      <c r="A14" s="413">
        <f>IF(PktTSZ6Lbl&lt;&gt;0,PktTSZ6Lbl,"")</f>
        <v/>
      </c>
      <c r="B14" s="365" t="n"/>
      <c r="C14" s="365">
        <f>IF(PktTSZ6SetPt&lt;&gt;0,PktTSZ6SetPt,"")</f>
        <v/>
      </c>
      <c r="D14" s="366" t="n"/>
      <c r="E14" s="365" t="n"/>
      <c r="F14" s="365" t="n"/>
      <c r="G14" s="365" t="n"/>
      <c r="H14" s="365" t="n"/>
      <c r="I14" s="365" t="n"/>
      <c r="J14" s="365" t="n"/>
      <c r="K14" s="365" t="n"/>
      <c r="L14" s="371" t="n"/>
      <c r="M14" s="372" t="n"/>
      <c r="N14" s="373" t="n"/>
      <c r="O14" s="374" t="n"/>
      <c r="P14" s="374" t="n"/>
      <c r="Q14" s="374" t="n"/>
      <c r="R14" s="374" t="n"/>
      <c r="S14" s="372" t="n"/>
      <c r="T14" s="371" t="n"/>
      <c r="U14" s="949" t="n"/>
      <c r="V14" s="372" t="n"/>
      <c r="W14" s="371" t="n"/>
      <c r="X14" s="450" t="n"/>
      <c r="Y14" s="419" t="n"/>
      <c r="Z14" s="430" t="n"/>
      <c r="AA14" s="371" t="n"/>
      <c r="AB14" s="372" t="n"/>
      <c r="AC14" s="371" t="n"/>
      <c r="AD14" s="412" t="n"/>
      <c r="AE14" s="372" t="n"/>
      <c r="AF14" s="371" t="n"/>
      <c r="AG14" s="453" t="n"/>
      <c r="AH14" s="374" t="n"/>
      <c r="AI14" s="372" t="n"/>
      <c r="AJ14" s="371" t="n"/>
      <c r="AK14" s="374" t="n"/>
      <c r="AL14" s="374" t="n"/>
      <c r="AM14" s="372" t="n"/>
      <c r="AN14" s="371" t="n"/>
      <c r="AO14" s="374" t="n"/>
      <c r="AP14" s="372" t="n"/>
      <c r="AQ14" s="371" t="n"/>
      <c r="AR14" s="372" t="n"/>
    </row>
    <row r="15" ht="12" customHeight="1">
      <c r="A15" s="413">
        <f>IF(PktTSZ7Lbl&lt;&gt;0,PktTSZ7Lbl,"")</f>
        <v/>
      </c>
      <c r="B15" s="365" t="n"/>
      <c r="C15" s="365">
        <f>IF(PktTSZ7SetPt&lt;&gt;0,PktTSZ7SetPt,"")</f>
        <v/>
      </c>
      <c r="D15" s="366" t="n"/>
      <c r="E15" s="365" t="n"/>
      <c r="F15" s="365" t="n"/>
      <c r="G15" s="365" t="n"/>
      <c r="H15" s="365" t="n"/>
      <c r="I15" s="365" t="n"/>
      <c r="J15" s="365" t="n"/>
      <c r="K15" s="365" t="n"/>
      <c r="L15" s="367" t="inlineStr">
        <is>
          <t>F-4</t>
        </is>
      </c>
      <c r="M15" s="368" t="n"/>
      <c r="N15" s="367">
        <f>IF(Feeder4RMname&lt;&gt;0,Feeder4RMname,"")</f>
        <v/>
      </c>
      <c r="O15" s="369" t="n"/>
      <c r="P15" s="369" t="n"/>
      <c r="Q15" s="369" t="n"/>
      <c r="R15" s="369" t="n"/>
      <c r="S15" s="368" t="n"/>
      <c r="T15" s="370" t="n"/>
      <c r="U15" s="948">
        <f>IF(Feeder4Parts&lt;&gt;0,Feeder4Parts,"")</f>
        <v/>
      </c>
      <c r="V15" s="368" t="n"/>
      <c r="W15" s="417" t="n"/>
      <c r="X15" s="449">
        <f>IF(PktTSF4Agit&lt;&gt;0,PktTSF4Agit,"")</f>
        <v/>
      </c>
      <c r="Y15" s="418" t="n"/>
      <c r="Z15" s="429">
        <f>IF(PktTSF4Tube&lt;&gt;0,PktTSF4Tube,"")</f>
        <v/>
      </c>
      <c r="AA15" s="370">
        <f>IF(PktTSF4Switch&lt;&gt;0,PktTSF4Switch,"")</f>
        <v/>
      </c>
      <c r="AB15" s="368" t="n"/>
      <c r="AC15" s="370" t="n"/>
      <c r="AD15" s="411">
        <f>IF(PktTSF4CalDriv&lt;&gt;0,PktTSF4CalDriv,"")</f>
        <v/>
      </c>
      <c r="AE15" s="368" t="n"/>
      <c r="AF15" s="370" t="n"/>
      <c r="AG15" s="452">
        <f>IF(PktTSF4Refill&lt;&gt;0,PktTSF4Refill,"")</f>
        <v/>
      </c>
      <c r="AH15" s="369" t="n"/>
      <c r="AI15" s="368" t="n"/>
      <c r="AJ15" s="370" t="n"/>
      <c r="AK15" s="369" t="n"/>
      <c r="AL15" s="369" t="n"/>
      <c r="AM15" s="368" t="n"/>
      <c r="AN15" s="370" t="n"/>
      <c r="AO15" s="369" t="n"/>
      <c r="AP15" s="368" t="n"/>
      <c r="AQ15" s="370" t="n"/>
      <c r="AR15" s="368" t="n"/>
    </row>
    <row r="16" ht="12" customHeight="1" thickBot="1">
      <c r="A16" s="413">
        <f>IF(PktTSZ8Lbl&lt;&gt;0,PktTSZ8Lbl,"")</f>
        <v/>
      </c>
      <c r="B16" s="365" t="n"/>
      <c r="C16" s="365">
        <f>IF(PktTSZ8SetPt&lt;&gt;0,PktTSZ8SetPt,"")</f>
        <v/>
      </c>
      <c r="D16" s="366" t="n"/>
      <c r="E16" s="365" t="n"/>
      <c r="F16" s="365" t="n"/>
      <c r="G16" s="365" t="n"/>
      <c r="H16" s="365" t="n"/>
      <c r="I16" s="365" t="n"/>
      <c r="J16" s="365" t="n"/>
      <c r="K16" s="365" t="n"/>
      <c r="L16" s="371" t="n"/>
      <c r="M16" s="372" t="n"/>
      <c r="N16" s="373" t="n"/>
      <c r="O16" s="374" t="n"/>
      <c r="P16" s="374" t="n"/>
      <c r="Q16" s="374" t="n"/>
      <c r="R16" s="374" t="n"/>
      <c r="S16" s="372" t="n"/>
      <c r="T16" s="371" t="n"/>
      <c r="U16" s="949" t="n"/>
      <c r="V16" s="372" t="n"/>
      <c r="W16" s="371" t="n"/>
      <c r="X16" s="450" t="n"/>
      <c r="Y16" s="419" t="n"/>
      <c r="Z16" s="430" t="n"/>
      <c r="AA16" s="371" t="n"/>
      <c r="AB16" s="372" t="n"/>
      <c r="AC16" s="371" t="n"/>
      <c r="AD16" s="412" t="n"/>
      <c r="AE16" s="372" t="n"/>
      <c r="AF16" s="371" t="n"/>
      <c r="AG16" s="453" t="n"/>
      <c r="AH16" s="374" t="n"/>
      <c r="AI16" s="372" t="n"/>
      <c r="AJ16" s="371" t="n"/>
      <c r="AK16" s="374" t="n"/>
      <c r="AL16" s="374" t="n"/>
      <c r="AM16" s="372" t="n"/>
      <c r="AN16" s="371" t="n"/>
      <c r="AO16" s="374" t="n"/>
      <c r="AP16" s="372" t="n"/>
      <c r="AQ16" s="371" t="n"/>
      <c r="AR16" s="372" t="n"/>
    </row>
    <row r="17" ht="12" customHeight="1">
      <c r="A17" s="413">
        <f>IF(PktTSZ9Lbl&lt;&gt;0,PktTSZ9Lbl,"")</f>
        <v/>
      </c>
      <c r="B17" s="365" t="n"/>
      <c r="C17" s="365">
        <f>IF(PktTSZ9SetPt&lt;&gt;0,PktTSZ9SetPt,"")</f>
        <v/>
      </c>
      <c r="D17" s="366" t="n"/>
      <c r="E17" s="365" t="n"/>
      <c r="F17" s="365" t="n"/>
      <c r="G17" s="365" t="n"/>
      <c r="H17" s="365" t="n"/>
      <c r="I17" s="365" t="n"/>
      <c r="J17" s="365" t="n"/>
      <c r="K17" s="365" t="n"/>
      <c r="L17" s="367" t="inlineStr">
        <is>
          <t>F-5</t>
        </is>
      </c>
      <c r="M17" s="368" t="n"/>
      <c r="N17" s="367">
        <f>IF(Feeder5RMname&lt;&gt;0,Feeder5RMname,"")</f>
        <v/>
      </c>
      <c r="O17" s="369" t="n"/>
      <c r="P17" s="369" t="n"/>
      <c r="Q17" s="369" t="n"/>
      <c r="R17" s="369" t="n"/>
      <c r="S17" s="368" t="n"/>
      <c r="T17" s="370" t="n"/>
      <c r="U17" s="948">
        <f>IF(Feeder5Parts&lt;&gt;0,Feeder5Parts,"")</f>
        <v/>
      </c>
      <c r="V17" s="368" t="n"/>
      <c r="W17" s="417" t="n"/>
      <c r="X17" s="449">
        <f>IF(PktTSF5Agit&lt;&gt;0,PktTSF5Agit,"")</f>
        <v/>
      </c>
      <c r="Y17" s="418" t="n"/>
      <c r="Z17" s="429">
        <f>IF(PktTSF5Tube&lt;&gt;0,PktTSF5Tube,"")</f>
        <v/>
      </c>
      <c r="AA17" s="370">
        <f>IF(PktTSF5Switch&lt;&gt;0,PktTSF5Switch,"")</f>
        <v/>
      </c>
      <c r="AB17" s="368" t="n"/>
      <c r="AC17" s="370" t="n"/>
      <c r="AD17" s="411">
        <f>IF(PktTSF5CalDriv&lt;&gt;0,PktTSF5CalDriv,"")</f>
        <v/>
      </c>
      <c r="AE17" s="368" t="n"/>
      <c r="AF17" s="370" t="n"/>
      <c r="AG17" s="452">
        <f>IF(PktTSF5Refill&lt;&gt;0,PktTSF5Refill,"")</f>
        <v/>
      </c>
      <c r="AH17" s="369" t="n"/>
      <c r="AI17" s="368" t="n"/>
      <c r="AJ17" s="370" t="n"/>
      <c r="AK17" s="369" t="n"/>
      <c r="AL17" s="369" t="n"/>
      <c r="AM17" s="368" t="n"/>
      <c r="AN17" s="370" t="n"/>
      <c r="AO17" s="369" t="n"/>
      <c r="AP17" s="368" t="n"/>
      <c r="AQ17" s="370" t="n"/>
      <c r="AR17" s="368" t="n"/>
    </row>
    <row r="18" ht="12" customHeight="1" thickBot="1">
      <c r="A18" s="413">
        <f>IF(PktTSZ10Lbl&lt;&gt;0,PktTSZ10Lbl,"")</f>
        <v/>
      </c>
      <c r="B18" s="365" t="n"/>
      <c r="C18" s="365">
        <f>IF(PktTSZ10SetPt&lt;&gt;0,PktTSZ10SetPt,"")</f>
        <v/>
      </c>
      <c r="D18" s="366" t="n"/>
      <c r="E18" s="365" t="n"/>
      <c r="F18" s="365" t="n"/>
      <c r="G18" s="365" t="n"/>
      <c r="H18" s="365" t="n"/>
      <c r="I18" s="365" t="n"/>
      <c r="J18" s="365" t="n"/>
      <c r="K18" s="365" t="n"/>
      <c r="L18" s="371" t="n"/>
      <c r="M18" s="372" t="n"/>
      <c r="N18" s="373" t="n"/>
      <c r="O18" s="374" t="n"/>
      <c r="P18" s="374" t="n"/>
      <c r="Q18" s="374" t="n"/>
      <c r="R18" s="374" t="n"/>
      <c r="S18" s="372" t="n"/>
      <c r="T18" s="371" t="n"/>
      <c r="U18" s="949" t="n"/>
      <c r="V18" s="372" t="n"/>
      <c r="W18" s="371" t="n"/>
      <c r="X18" s="450" t="n"/>
      <c r="Y18" s="419" t="n"/>
      <c r="Z18" s="430" t="n"/>
      <c r="AA18" s="371" t="n"/>
      <c r="AB18" s="372" t="n"/>
      <c r="AC18" s="371" t="n"/>
      <c r="AD18" s="412" t="n"/>
      <c r="AE18" s="372" t="n"/>
      <c r="AF18" s="371" t="n"/>
      <c r="AG18" s="453" t="n"/>
      <c r="AH18" s="374" t="n"/>
      <c r="AI18" s="372" t="n"/>
      <c r="AJ18" s="371" t="n"/>
      <c r="AK18" s="374" t="n"/>
      <c r="AL18" s="374" t="n"/>
      <c r="AM18" s="372" t="n"/>
      <c r="AN18" s="371" t="n"/>
      <c r="AO18" s="374" t="n"/>
      <c r="AP18" s="372" t="n"/>
      <c r="AQ18" s="371" t="n"/>
      <c r="AR18" s="372" t="n"/>
    </row>
    <row r="19" ht="12" customHeight="1">
      <c r="A19" s="413">
        <f>IF(PktTSZ11Lbl&lt;&gt;0,PktTSZ11Lbl,"")</f>
        <v/>
      </c>
      <c r="B19" s="365" t="n"/>
      <c r="C19" s="365">
        <f>IF(PktTSZ11SetPt&lt;&gt;0,PktTSZ11SetPt,"")</f>
        <v/>
      </c>
      <c r="D19" s="366" t="n"/>
      <c r="E19" s="365" t="n"/>
      <c r="F19" s="365" t="n"/>
      <c r="G19" s="365" t="n"/>
      <c r="H19" s="365" t="n"/>
      <c r="I19" s="365" t="n"/>
      <c r="J19" s="365" t="n"/>
      <c r="K19" s="365" t="n"/>
      <c r="L19" s="367" t="inlineStr">
        <is>
          <t>F-6</t>
        </is>
      </c>
      <c r="M19" s="368" t="n"/>
      <c r="N19" s="367">
        <f>IF(Feeder6RMname&lt;&gt;0,Feeder6RMname,"")</f>
        <v/>
      </c>
      <c r="O19" s="369" t="n"/>
      <c r="P19" s="369" t="n"/>
      <c r="Q19" s="369" t="n"/>
      <c r="R19" s="369" t="n"/>
      <c r="S19" s="368" t="n"/>
      <c r="T19" s="370" t="n"/>
      <c r="U19" s="948">
        <f>IF(Feeder6Parts&lt;&gt;0,Feeder6Parts,"")</f>
        <v/>
      </c>
      <c r="V19" s="368" t="n"/>
      <c r="W19" s="417" t="n"/>
      <c r="X19" s="449">
        <f>IF(PktTSF6Agit&lt;&gt;0,PktTSF6Agit,"")</f>
        <v/>
      </c>
      <c r="Y19" s="418" t="n"/>
      <c r="Z19" s="429">
        <f>IF(PktTSF6Tube&lt;&gt;0,PktTSF6Tube,"")</f>
        <v/>
      </c>
      <c r="AA19" s="370">
        <f>IF(PktTSF6Switch&lt;&gt;0,PktTSF6Switch,"")</f>
        <v/>
      </c>
      <c r="AB19" s="368" t="n"/>
      <c r="AC19" s="370" t="n"/>
      <c r="AD19" s="411">
        <f>IF(PktTSF6CalDriv&lt;&gt;0,PktTSF6CalDriv,"")</f>
        <v/>
      </c>
      <c r="AE19" s="368" t="n"/>
      <c r="AF19" s="370" t="n"/>
      <c r="AG19" s="452">
        <f>IF(PktTSF6Refill&lt;&gt;0,PktTSF6Refill,"")</f>
        <v/>
      </c>
      <c r="AH19" s="369" t="n"/>
      <c r="AI19" s="368" t="n"/>
      <c r="AJ19" s="370" t="n"/>
      <c r="AK19" s="369" t="n"/>
      <c r="AL19" s="369" t="n"/>
      <c r="AM19" s="368" t="n"/>
      <c r="AN19" s="370" t="n"/>
      <c r="AO19" s="369" t="n"/>
      <c r="AP19" s="368" t="n"/>
      <c r="AQ19" s="370" t="n"/>
      <c r="AR19" s="368" t="n"/>
    </row>
    <row r="20" ht="12" customHeight="1" thickBot="1">
      <c r="A20" s="413">
        <f>IF(PktTSZ12Lbl&lt;&gt;0,PktTSZ12Lbl,"")</f>
        <v/>
      </c>
      <c r="B20" s="365" t="n"/>
      <c r="C20" s="365">
        <f>IF(PktTSZ12SetPt&lt;&gt;0,PktTSZ12SetPt,"")</f>
        <v/>
      </c>
      <c r="D20" s="366" t="n"/>
      <c r="E20" s="365" t="n"/>
      <c r="F20" s="365" t="n"/>
      <c r="G20" s="365" t="n"/>
      <c r="H20" s="365" t="n"/>
      <c r="I20" s="365" t="n"/>
      <c r="J20" s="365" t="n"/>
      <c r="K20" s="365" t="n"/>
      <c r="L20" s="371" t="n"/>
      <c r="M20" s="372" t="n"/>
      <c r="N20" s="373" t="n"/>
      <c r="O20" s="374" t="n"/>
      <c r="P20" s="374" t="n"/>
      <c r="Q20" s="374" t="n"/>
      <c r="R20" s="374" t="n"/>
      <c r="S20" s="372" t="n"/>
      <c r="T20" s="371" t="n"/>
      <c r="U20" s="949" t="n"/>
      <c r="V20" s="372" t="n"/>
      <c r="W20" s="371" t="n"/>
      <c r="X20" s="450" t="n"/>
      <c r="Y20" s="419" t="n"/>
      <c r="Z20" s="430" t="n"/>
      <c r="AA20" s="371" t="n"/>
      <c r="AB20" s="372" t="n"/>
      <c r="AC20" s="371" t="n"/>
      <c r="AD20" s="412" t="n"/>
      <c r="AE20" s="372" t="n"/>
      <c r="AF20" s="371" t="n"/>
      <c r="AG20" s="453" t="n"/>
      <c r="AH20" s="374" t="n"/>
      <c r="AI20" s="372" t="n"/>
      <c r="AJ20" s="371" t="n"/>
      <c r="AK20" s="374" t="n"/>
      <c r="AL20" s="374" t="n"/>
      <c r="AM20" s="372" t="n"/>
      <c r="AN20" s="371" t="n"/>
      <c r="AO20" s="374" t="n"/>
      <c r="AP20" s="372" t="n"/>
      <c r="AQ20" s="371" t="n"/>
      <c r="AR20" s="372" t="n"/>
    </row>
    <row r="21" ht="12" customHeight="1">
      <c r="A21" s="413">
        <f>IF(PktTSZ13Lbl&lt;&gt;0,PktTSZ13Lbl,"")</f>
        <v/>
      </c>
      <c r="B21" s="365" t="n"/>
      <c r="C21" s="365">
        <f>IF(PktTSZ13SetPt&lt;&gt;0,PktTSZ13SetPt,"")</f>
        <v/>
      </c>
      <c r="D21" s="366" t="n"/>
      <c r="E21" s="365" t="n"/>
      <c r="F21" s="365" t="n"/>
      <c r="G21" s="365" t="n"/>
      <c r="H21" s="365" t="n"/>
      <c r="I21" s="365" t="n"/>
      <c r="J21" s="365" t="n"/>
      <c r="K21" s="365" t="n"/>
      <c r="L21" s="367" t="inlineStr">
        <is>
          <t>F-7</t>
        </is>
      </c>
      <c r="M21" s="368" t="n"/>
      <c r="N21" s="367">
        <f>IF(Feeder7RMname&lt;&gt;0,Feeder7RMname,"")</f>
        <v/>
      </c>
      <c r="O21" s="369" t="n"/>
      <c r="P21" s="369" t="n"/>
      <c r="Q21" s="369" t="n"/>
      <c r="R21" s="369" t="n"/>
      <c r="S21" s="368" t="n"/>
      <c r="T21" s="370" t="n"/>
      <c r="U21" s="948">
        <f>IF(Feeder7Parts&lt;&gt;0,Feeder7Parts,"")</f>
        <v/>
      </c>
      <c r="V21" s="368" t="n"/>
      <c r="W21" s="417" t="n"/>
      <c r="X21" s="449">
        <f>IF(PktTSF7Agit&lt;&gt;0,PktTSF7Agit,"")</f>
        <v/>
      </c>
      <c r="Y21" s="418" t="n"/>
      <c r="Z21" s="429">
        <f>IF(PktTSF7Tube&lt;&gt;0,PktTSF7Tube,"")</f>
        <v/>
      </c>
      <c r="AA21" s="370">
        <f>IF(PktTSF7Switch&lt;&gt;0,PktTSF7Switch,"")</f>
        <v/>
      </c>
      <c r="AB21" s="368" t="n"/>
      <c r="AC21" s="370" t="n"/>
      <c r="AD21" s="411">
        <f>IF(PktTSF7CalDriv&lt;&gt;0,PktTSF7CalDriv,"")</f>
        <v/>
      </c>
      <c r="AE21" s="368" t="n"/>
      <c r="AF21" s="370" t="n"/>
      <c r="AG21" s="452">
        <f>IF(PktTSF7Refill&lt;&gt;0,PktTSF7Refill,"")</f>
        <v/>
      </c>
      <c r="AH21" s="369" t="n"/>
      <c r="AI21" s="368" t="n"/>
      <c r="AJ21" s="370" t="n"/>
      <c r="AK21" s="369" t="n"/>
      <c r="AL21" s="369" t="n"/>
      <c r="AM21" s="368" t="n"/>
      <c r="AN21" s="370" t="n"/>
      <c r="AO21" s="369" t="n"/>
      <c r="AP21" s="368" t="n"/>
      <c r="AQ21" s="370" t="n"/>
      <c r="AR21" s="368" t="n"/>
    </row>
    <row r="22" ht="12" customHeight="1" thickBot="1">
      <c r="A22" s="413">
        <f>IF(PktTSZ14Lbl&lt;&gt;0,PktTSZ14Lbl,"")</f>
        <v/>
      </c>
      <c r="B22" s="365" t="n"/>
      <c r="C22" s="365">
        <f>IF(PktTSZ14SetPt&lt;&gt;0,PktTSZ14SetPt,"")</f>
        <v/>
      </c>
      <c r="D22" s="366" t="n"/>
      <c r="E22" s="365" t="n"/>
      <c r="F22" s="365" t="n"/>
      <c r="G22" s="365" t="n"/>
      <c r="H22" s="365" t="n"/>
      <c r="I22" s="365" t="n"/>
      <c r="J22" s="365" t="n"/>
      <c r="K22" s="365" t="n"/>
      <c r="L22" s="371" t="n"/>
      <c r="M22" s="372" t="n"/>
      <c r="N22" s="373" t="n"/>
      <c r="O22" s="374" t="n"/>
      <c r="P22" s="374" t="n"/>
      <c r="Q22" s="374" t="n"/>
      <c r="R22" s="374" t="n"/>
      <c r="S22" s="372" t="n"/>
      <c r="T22" s="371" t="n"/>
      <c r="U22" s="949" t="n"/>
      <c r="V22" s="372" t="n"/>
      <c r="W22" s="371" t="n"/>
      <c r="X22" s="450" t="n"/>
      <c r="Y22" s="419" t="n"/>
      <c r="Z22" s="430" t="n"/>
      <c r="AA22" s="371" t="n"/>
      <c r="AB22" s="372" t="n"/>
      <c r="AC22" s="371" t="n"/>
      <c r="AD22" s="412" t="n"/>
      <c r="AE22" s="372" t="n"/>
      <c r="AF22" s="371" t="n"/>
      <c r="AG22" s="453" t="n"/>
      <c r="AH22" s="374" t="n"/>
      <c r="AI22" s="372" t="n"/>
      <c r="AJ22" s="371" t="n"/>
      <c r="AK22" s="374" t="n"/>
      <c r="AL22" s="374" t="n"/>
      <c r="AM22" s="372" t="n"/>
      <c r="AN22" s="371" t="n"/>
      <c r="AO22" s="374" t="n"/>
      <c r="AP22" s="372" t="n"/>
      <c r="AQ22" s="371" t="n"/>
      <c r="AR22" s="372" t="n"/>
    </row>
    <row r="23" ht="12" customHeight="1">
      <c r="A23" s="413">
        <f>IF(PktTSZ15Lbl&lt;&gt;0,PktTSZ15Lbl,"")</f>
        <v/>
      </c>
      <c r="C23" s="365">
        <f>IF(PktTSZ15SetPt&lt;&gt;0,PktTSZ15SetPt,"")</f>
        <v/>
      </c>
      <c r="D23" s="366" t="n"/>
      <c r="E23" s="365" t="n"/>
      <c r="F23" s="365" t="n"/>
      <c r="G23" s="365" t="n"/>
      <c r="H23" s="365" t="n"/>
      <c r="I23" s="365" t="n"/>
      <c r="J23" s="365" t="n"/>
      <c r="K23" s="365" t="n"/>
      <c r="L23" s="367" t="inlineStr">
        <is>
          <t>F-8</t>
        </is>
      </c>
      <c r="M23" s="368" t="n"/>
      <c r="N23" s="367">
        <f>IF(Feeder8RMname&lt;&gt;0,Feeder8RMname,"")</f>
        <v/>
      </c>
      <c r="O23" s="369" t="n"/>
      <c r="P23" s="369" t="n"/>
      <c r="Q23" s="369" t="n"/>
      <c r="R23" s="369" t="n"/>
      <c r="S23" s="368" t="n"/>
      <c r="T23" s="370" t="n"/>
      <c r="U23" s="948">
        <f>IF(Feeder8Parts&lt;&gt;0,Feeder8Parts,"")</f>
        <v/>
      </c>
      <c r="V23" s="368" t="n"/>
      <c r="W23" s="417" t="n"/>
      <c r="X23" s="449">
        <f>IF(PktTSF8Agit&lt;&gt;0,PktTSF8Agit,"")</f>
        <v/>
      </c>
      <c r="Y23" s="418" t="n"/>
      <c r="Z23" s="429">
        <f>IF(PktTSF8Tube&lt;&gt;0,PktTSF8Tube,"")</f>
        <v/>
      </c>
      <c r="AA23" s="370">
        <f>IF(PktTSF8Switch&lt;&gt;0,PktTSF8Switch,"")</f>
        <v/>
      </c>
      <c r="AB23" s="368" t="n"/>
      <c r="AC23" s="370" t="n"/>
      <c r="AD23" s="411">
        <f>IF(PktTSF8CalDriv&lt;&gt;0,PktTSF8CalDriv,"")</f>
        <v/>
      </c>
      <c r="AE23" s="368" t="n"/>
      <c r="AF23" s="370" t="n"/>
      <c r="AG23" s="452">
        <f>IF(PktTSF8Refill&lt;&gt;0,PktTSF8Refill,"")</f>
        <v/>
      </c>
      <c r="AH23" s="369" t="n"/>
      <c r="AI23" s="368" t="n"/>
      <c r="AJ23" s="370" t="n"/>
      <c r="AK23" s="369" t="n"/>
      <c r="AL23" s="369" t="n"/>
      <c r="AM23" s="368" t="n"/>
      <c r="AN23" s="370" t="n"/>
      <c r="AO23" s="369" t="n"/>
      <c r="AP23" s="368" t="n"/>
      <c r="AQ23" s="370" t="n"/>
      <c r="AR23" s="368" t="n"/>
    </row>
    <row r="24" ht="12" customHeight="1" thickBot="1">
      <c r="A24" s="413">
        <f>IF(PktTSZ16Lbl&lt;&gt;0,PktTSZ16Lbl,"")</f>
        <v/>
      </c>
      <c r="B24" s="365" t="n"/>
      <c r="C24" s="365">
        <f>IF(PktTSZ16SetPt&lt;&gt;0,PktTSZ16SetPt,"")</f>
        <v/>
      </c>
      <c r="D24" s="366" t="n"/>
      <c r="E24" s="365" t="n"/>
      <c r="F24" s="365" t="n"/>
      <c r="G24" s="365" t="n"/>
      <c r="H24" s="365" t="n"/>
      <c r="I24" s="365" t="n"/>
      <c r="J24" s="365" t="n"/>
      <c r="K24" s="365" t="n"/>
      <c r="L24" s="371" t="n"/>
      <c r="M24" s="372" t="n"/>
      <c r="N24" s="373" t="n"/>
      <c r="O24" s="374" t="n"/>
      <c r="P24" s="374" t="n"/>
      <c r="Q24" s="374" t="n"/>
      <c r="R24" s="374" t="n"/>
      <c r="S24" s="372" t="n"/>
      <c r="T24" s="371" t="n"/>
      <c r="U24" s="949" t="n"/>
      <c r="V24" s="372" t="n"/>
      <c r="W24" s="371" t="n"/>
      <c r="X24" s="450" t="n"/>
      <c r="Y24" s="419" t="n"/>
      <c r="Z24" s="430" t="n"/>
      <c r="AA24" s="371" t="n"/>
      <c r="AB24" s="372" t="n"/>
      <c r="AC24" s="371" t="n"/>
      <c r="AD24" s="412" t="n"/>
      <c r="AE24" s="372" t="n"/>
      <c r="AF24" s="371" t="n"/>
      <c r="AG24" s="453" t="n"/>
      <c r="AH24" s="374" t="n"/>
      <c r="AI24" s="372" t="n"/>
      <c r="AJ24" s="371" t="n"/>
      <c r="AK24" s="374" t="n"/>
      <c r="AL24" s="374" t="n"/>
      <c r="AM24" s="372" t="n"/>
      <c r="AN24" s="371" t="n"/>
      <c r="AO24" s="374" t="n"/>
      <c r="AP24" s="372" t="n"/>
      <c r="AQ24" s="371" t="n"/>
      <c r="AR24" s="372" t="n"/>
    </row>
    <row r="25" ht="12" customHeight="1">
      <c r="A25" s="413">
        <f>IF(PktTSZ17Lbl&lt;&gt;0,PktTSZ17Lbl,"")</f>
        <v/>
      </c>
      <c r="B25" s="365" t="n"/>
      <c r="C25" s="365">
        <f>IF(PktTSZ17SetPt&lt;&gt;0,PktTSZ17SetPt,"")</f>
        <v/>
      </c>
      <c r="D25" s="366" t="n"/>
      <c r="E25" s="365" t="n"/>
      <c r="F25" s="365" t="n"/>
      <c r="G25" s="365" t="n"/>
      <c r="H25" s="365" t="n"/>
      <c r="I25" s="365" t="n"/>
      <c r="J25" s="365" t="n"/>
      <c r="K25" s="365" t="n"/>
      <c r="L25" s="367" t="inlineStr">
        <is>
          <t>F-9</t>
        </is>
      </c>
      <c r="M25" s="368" t="n"/>
      <c r="N25" s="367">
        <f>IF(Feeder9RMname&lt;&gt;0,Feeder9RMname,"")</f>
        <v/>
      </c>
      <c r="O25" s="369" t="n"/>
      <c r="P25" s="369" t="n"/>
      <c r="Q25" s="369" t="n"/>
      <c r="R25" s="369" t="n"/>
      <c r="S25" s="368" t="n"/>
      <c r="T25" s="370" t="n"/>
      <c r="U25" s="948">
        <f>IF(Feeder9Parts&lt;&gt;0,Feeder9Parts,"")</f>
        <v/>
      </c>
      <c r="V25" s="368" t="n"/>
      <c r="W25" s="417" t="n"/>
      <c r="X25" s="449">
        <f>IF(PktTSF9Agit&lt;&gt;0,PktTSF9Agit,"")</f>
        <v/>
      </c>
      <c r="Y25" s="418" t="n"/>
      <c r="Z25" s="429">
        <f>IF(PktTSF9Tube&lt;&gt;0,PktTSF9Tube,"")</f>
        <v/>
      </c>
      <c r="AA25" s="370">
        <f>IF(PktTSF9Switch&lt;&gt;0,PktTSF9Switch,"")</f>
        <v/>
      </c>
      <c r="AB25" s="368" t="n"/>
      <c r="AC25" s="370" t="n"/>
      <c r="AD25" s="411">
        <f>IF(PktTSF9CalDriv&lt;&gt;0,PktTSF9CalDriv,"")</f>
        <v/>
      </c>
      <c r="AE25" s="368" t="n"/>
      <c r="AF25" s="370" t="n"/>
      <c r="AG25" s="452">
        <f>IF(PktTSF9Refill&lt;&gt;0,PktTSF9Refill,"")</f>
        <v/>
      </c>
      <c r="AH25" s="369" t="n"/>
      <c r="AI25" s="368" t="n"/>
      <c r="AJ25" s="370" t="n"/>
      <c r="AK25" s="369" t="n"/>
      <c r="AL25" s="369" t="n"/>
      <c r="AM25" s="368" t="n"/>
      <c r="AN25" s="370" t="n"/>
      <c r="AO25" s="369" t="n"/>
      <c r="AP25" s="368" t="n"/>
      <c r="AQ25" s="370" t="n"/>
      <c r="AR25" s="368" t="n"/>
    </row>
    <row r="26" ht="12" customHeight="1" thickBot="1">
      <c r="A26" s="471">
        <f>IF(PktTSDieLbl&lt;&gt;0,PktTSDieLbl,"")</f>
        <v/>
      </c>
      <c r="B26" s="374" t="n"/>
      <c r="C26" s="374">
        <f>IF(PktTSDieSetPt&lt;&gt;0,PktTSDieSetPt,"")</f>
        <v/>
      </c>
      <c r="D26" s="372" t="n"/>
      <c r="E26" s="374" t="n"/>
      <c r="F26" s="374" t="n"/>
      <c r="G26" s="374" t="n"/>
      <c r="H26" s="374" t="n"/>
      <c r="I26" s="374" t="n"/>
      <c r="J26" s="374" t="n"/>
      <c r="K26" s="372" t="n"/>
      <c r="L26" s="371" t="n"/>
      <c r="M26" s="372" t="n"/>
      <c r="N26" s="371" t="n"/>
      <c r="O26" s="374" t="n"/>
      <c r="P26" s="374" t="n"/>
      <c r="Q26" s="374" t="n"/>
      <c r="R26" s="374" t="n"/>
      <c r="S26" s="372" t="n"/>
      <c r="T26" s="371" t="n"/>
      <c r="U26" s="375" t="n"/>
      <c r="V26" s="372" t="n"/>
      <c r="W26" s="371" t="n"/>
      <c r="X26" s="374" t="n"/>
      <c r="Y26" s="419" t="n"/>
      <c r="Z26" s="430" t="n"/>
      <c r="AA26" s="371" t="n"/>
      <c r="AB26" s="372" t="n"/>
      <c r="AC26" s="371" t="n"/>
      <c r="AD26" s="374" t="n"/>
      <c r="AE26" s="372" t="n"/>
      <c r="AF26" s="371" t="n"/>
      <c r="AG26" s="453" t="n"/>
      <c r="AH26" s="374" t="n"/>
      <c r="AI26" s="372" t="n"/>
      <c r="AJ26" s="371" t="n"/>
      <c r="AK26" s="374" t="n"/>
      <c r="AL26" s="374" t="n"/>
      <c r="AM26" s="372" t="n"/>
      <c r="AN26" s="371" t="n"/>
      <c r="AO26" s="374" t="n"/>
      <c r="AP26" s="372" t="n"/>
      <c r="AQ26" s="371" t="n"/>
      <c r="AR26" s="372" t="n"/>
    </row>
    <row r="27" ht="12" customHeight="1" thickBot="1">
      <c r="A27" s="371" t="n"/>
      <c r="B27" s="374" t="n"/>
      <c r="C27" s="526" t="inlineStr">
        <is>
          <t>MACHINE SETTINGS</t>
        </is>
      </c>
      <c r="D27" s="526" t="n"/>
      <c r="E27" s="526" t="n"/>
      <c r="F27" s="526" t="n"/>
      <c r="G27" s="374" t="n"/>
      <c r="H27" s="374" t="n"/>
      <c r="I27" s="374" t="n"/>
      <c r="J27" s="374" t="n"/>
      <c r="K27" s="374" t="n"/>
      <c r="L27" s="374" t="inlineStr">
        <is>
          <t>Acceptable Ranges</t>
        </is>
      </c>
      <c r="M27" s="374" t="n"/>
      <c r="N27" s="374" t="n"/>
      <c r="O27" s="374" t="n"/>
      <c r="P27" s="372" t="n"/>
      <c r="Q27" s="525" t="n"/>
      <c r="R27" s="526" t="n"/>
      <c r="S27" s="526" t="n"/>
      <c r="T27" s="526" t="n"/>
      <c r="U27" s="526" t="inlineStr">
        <is>
          <t>PELLETIZING</t>
        </is>
      </c>
      <c r="V27" s="526" t="n"/>
      <c r="W27" s="526" t="n"/>
      <c r="X27" s="526" t="n"/>
      <c r="Y27" s="526" t="n"/>
      <c r="Z27" s="527" t="n"/>
      <c r="AA27" s="479" t="inlineStr">
        <is>
          <t>Special Notes:</t>
        </is>
      </c>
      <c r="AB27" s="479" t="n"/>
      <c r="AC27" s="479" t="n"/>
      <c r="AD27" s="480" t="n"/>
      <c r="AE27" s="479" t="n"/>
      <c r="AF27" s="479" t="n"/>
      <c r="AG27" s="479" t="n"/>
      <c r="AH27" s="479" t="n"/>
      <c r="AI27" s="479" t="n"/>
      <c r="AJ27" s="479" t="n"/>
      <c r="AK27" s="479" t="n"/>
      <c r="AL27" s="479" t="n"/>
      <c r="AM27" s="479" t="n"/>
      <c r="AN27" s="479" t="n"/>
      <c r="AO27" s="479" t="n"/>
      <c r="AP27" s="479" t="n"/>
      <c r="AQ27" s="479" t="n"/>
      <c r="AR27" s="481" t="n"/>
    </row>
    <row r="28" ht="12" customHeight="1">
      <c r="C28" s="365" t="n"/>
      <c r="D28" s="365" t="n"/>
      <c r="E28" s="387">
        <f>IF(PktTSMachLbl01&lt;&gt;0,PktTSMachLbl01,"")</f>
        <v/>
      </c>
      <c r="F28" s="365">
        <f>IF(PktTSMachVal01&lt;&gt;0,PktTSMachVal01,"")</f>
        <v/>
      </c>
      <c r="G28" s="365" t="n"/>
      <c r="H28" s="365" t="n"/>
      <c r="I28" s="365" t="n"/>
      <c r="J28" s="365" t="n"/>
      <c r="K28" s="365" t="n"/>
      <c r="L28" s="365" t="n"/>
      <c r="Q28" s="336" t="n"/>
      <c r="T28" s="365">
        <f>IF(PktTSPelLbl01&lt;&gt;0,PktTSPelLbl01,"")</f>
        <v/>
      </c>
      <c r="U28" s="365">
        <f>IF(PktTSPelVal01&lt;&gt;0,PktTSPelVal01,"")</f>
        <v/>
      </c>
      <c r="W28" s="365" t="n"/>
      <c r="X28" s="365" t="n"/>
      <c r="Y28" s="365" t="n"/>
      <c r="Z28" s="366" t="n"/>
      <c r="AA28" s="950">
        <f>IF(SpecialNote&lt;&gt;"",SpecialNote,"")</f>
        <v/>
      </c>
      <c r="AR28" s="951" t="n"/>
    </row>
    <row r="29" ht="12" customHeight="1">
      <c r="E29" s="388">
        <f>IF(PktTSMachLbl02&lt;&gt;0,PktTSMachLbl02,"")</f>
        <v/>
      </c>
      <c r="F29" s="365">
        <f>IF(PktTSMachVal02&lt;&gt;0,PktTSMachVal02,"")</f>
        <v/>
      </c>
      <c r="G29" s="365" t="n"/>
      <c r="H29" s="365" t="n"/>
      <c r="I29" s="365" t="n"/>
      <c r="J29" s="365" t="n"/>
      <c r="K29" s="365" t="n"/>
      <c r="L29" s="365" t="n"/>
      <c r="Q29" s="364" t="n"/>
      <c r="R29" s="365" t="n"/>
      <c r="S29" s="365" t="n"/>
      <c r="T29" s="388">
        <f>IF(PktTSPelLbl02&lt;&gt;0,PktTSPelLbl02,"")</f>
        <v/>
      </c>
      <c r="U29" s="365">
        <f>IF(PktTSPelVal02&lt;&gt;0,PktTSPelVal02,"")</f>
        <v/>
      </c>
      <c r="V29" s="365" t="n"/>
      <c r="W29" s="365" t="n"/>
      <c r="X29" s="365" t="n"/>
      <c r="Y29" s="365" t="n"/>
      <c r="Z29" s="366" t="n"/>
      <c r="AA29" s="952" t="n"/>
      <c r="AR29" s="951" t="n"/>
    </row>
    <row r="30" ht="12" customHeight="1">
      <c r="A30" s="364" t="n"/>
      <c r="B30" s="365" t="n"/>
      <c r="C30" s="365" t="n"/>
      <c r="D30" s="365" t="n"/>
      <c r="E30" s="388">
        <f>IF(PktTSMachLbl03&lt;&gt;0,PktTSMachLbl03,"")</f>
        <v/>
      </c>
      <c r="F30" s="386">
        <f>IF(PktTSMachVal03&lt;&gt;0,PktTSMachVal03,"")</f>
        <v/>
      </c>
      <c r="G30" s="365" t="n"/>
      <c r="H30" s="365" t="n"/>
      <c r="I30" s="365" t="inlineStr">
        <is>
          <t>Lbs/Hr</t>
        </is>
      </c>
      <c r="J30" s="365" t="n"/>
      <c r="K30" s="365" t="n"/>
      <c r="L30" s="389" t="inlineStr">
        <is>
          <t>+/-5%</t>
        </is>
      </c>
      <c r="M30" s="365" t="n"/>
      <c r="N30" s="365" t="n"/>
      <c r="O30" s="365" t="n"/>
      <c r="P30" s="366" t="n"/>
      <c r="Q30" s="364" t="n"/>
      <c r="R30" s="365" t="n"/>
      <c r="S30" s="365" t="n"/>
      <c r="T30" s="388">
        <f>IF(PktTSPelLbl03&lt;&gt;0,PktTSPelLbl03,"")</f>
        <v/>
      </c>
      <c r="U30" s="365">
        <f>IF(PktTSPelVal03&lt;&gt;0,PktTSPelVal03,"")</f>
        <v/>
      </c>
      <c r="V30" s="365" t="n"/>
      <c r="W30" s="365" t="n"/>
      <c r="X30" s="365" t="n"/>
      <c r="Y30" s="365" t="n"/>
      <c r="Z30" s="366" t="n"/>
      <c r="AA30" s="952" t="n"/>
      <c r="AR30" s="951" t="n"/>
    </row>
    <row r="31" ht="12" customHeight="1">
      <c r="A31" s="364" t="n"/>
      <c r="B31" s="365" t="n"/>
      <c r="C31" s="365" t="n"/>
      <c r="D31" s="365" t="n"/>
      <c r="E31" s="388">
        <f>IF(PktTSMachLbl04&lt;&gt;0,PktTSMachLbl04,"")</f>
        <v/>
      </c>
      <c r="F31" s="386">
        <f>IF(PktTSMachVal04&lt;&gt;0,PktTSMachVal04,"")</f>
        <v/>
      </c>
      <c r="G31" s="365" t="n"/>
      <c r="H31" s="365" t="n"/>
      <c r="I31" s="365" t="inlineStr">
        <is>
          <t>RPM</t>
        </is>
      </c>
      <c r="J31" s="365" t="n"/>
      <c r="K31" s="365" t="n"/>
      <c r="L31" s="389" t="inlineStr">
        <is>
          <t>+/-5%</t>
        </is>
      </c>
      <c r="M31" s="365" t="n"/>
      <c r="N31" s="365" t="n"/>
      <c r="O31" s="365" t="n"/>
      <c r="P31" s="366" t="n"/>
      <c r="Q31" s="364" t="n"/>
      <c r="R31" s="365" t="n"/>
      <c r="S31" s="365" t="n"/>
      <c r="T31" s="388">
        <f>IF(PktTSPelLbl04&lt;&gt;0,PktTSPelLbl04,"")</f>
        <v/>
      </c>
      <c r="U31" s="365">
        <f>IF(PktTSPelVal04&lt;&gt;0,PktTSPelVal04,"")</f>
        <v/>
      </c>
      <c r="V31" s="365" t="n"/>
      <c r="W31" s="365" t="n"/>
      <c r="X31" s="365" t="n"/>
      <c r="Y31" s="365" t="n"/>
      <c r="Z31" s="366" t="n"/>
      <c r="AA31" s="952" t="n"/>
      <c r="AR31" s="951" t="n"/>
    </row>
    <row r="32" ht="12" customHeight="1">
      <c r="A32" s="364" t="n"/>
      <c r="B32" s="365" t="n"/>
      <c r="C32" s="365" t="n"/>
      <c r="D32" s="365" t="n"/>
      <c r="E32" s="388">
        <f>IF(PktTSMachLbl05&lt;&gt;0,PktTSMachLbl05,"")</f>
        <v/>
      </c>
      <c r="F32" s="365">
        <f>IF(PktTSMachVal05&lt;&gt;0,PktTSMachVal05,"")</f>
        <v/>
      </c>
      <c r="G32" s="365" t="n"/>
      <c r="H32" s="365" t="n"/>
      <c r="I32" s="365" t="inlineStr">
        <is>
          <t>Amps/TQ</t>
        </is>
      </c>
      <c r="J32" s="365" t="n"/>
      <c r="K32" s="365" t="n"/>
      <c r="L32" s="365" t="n"/>
      <c r="M32" s="365" t="n"/>
      <c r="N32" s="365" t="n"/>
      <c r="O32" s="365" t="n"/>
      <c r="P32" s="366" t="n"/>
      <c r="Q32" s="364" t="n"/>
      <c r="R32" s="365" t="n"/>
      <c r="S32" s="365" t="n"/>
      <c r="T32" s="388">
        <f>IF(PktTSPelLbl05&lt;&gt;0,PktTSPelLbl05,"")</f>
        <v/>
      </c>
      <c r="U32" s="365">
        <f>IF(PktTSPelVal05&lt;&gt;0,PktTSPelVal05,"")</f>
        <v/>
      </c>
      <c r="V32" s="365" t="n"/>
      <c r="W32" s="365" t="n"/>
      <c r="X32" s="365" t="n"/>
      <c r="Y32" s="365" t="n"/>
      <c r="Z32" s="366" t="n"/>
      <c r="AA32" s="952" t="n"/>
      <c r="AR32" s="951" t="n"/>
    </row>
    <row r="33" ht="12" customHeight="1">
      <c r="A33" s="364" t="n"/>
      <c r="B33" s="365" t="n"/>
      <c r="C33" s="365" t="n"/>
      <c r="D33" s="365" t="n"/>
      <c r="E33" s="388">
        <f>IF(PktTSMachLbl06&lt;&gt;0,PktTSMachLbl06,"")</f>
        <v/>
      </c>
      <c r="F33" s="365">
        <f>IF(PktTSMachVal06&lt;&gt;0,PktTSMachVal06,"")</f>
        <v/>
      </c>
      <c r="G33" s="365" t="n"/>
      <c r="H33" s="365" t="n"/>
      <c r="I33" s="365" t="n"/>
      <c r="J33" s="365" t="n"/>
      <c r="K33" s="365" t="n"/>
      <c r="L33" s="365" t="n"/>
      <c r="M33" s="365" t="n"/>
      <c r="N33" s="365" t="n"/>
      <c r="O33" s="365" t="n"/>
      <c r="P33" s="366" t="n"/>
      <c r="Q33" s="364" t="n"/>
      <c r="R33" s="365" t="n"/>
      <c r="S33" s="365" t="n"/>
      <c r="T33" s="388">
        <f>IF(PktTSPelLbl06&lt;&gt;0,PktTSPelLbl06,"")</f>
        <v/>
      </c>
      <c r="U33" s="365">
        <f>IF(PktTSPelVal06&lt;&gt;0,PktTSPelVal06,"")</f>
        <v/>
      </c>
      <c r="V33" s="365" t="n"/>
      <c r="W33" s="365" t="n"/>
      <c r="X33" s="365" t="n"/>
      <c r="Y33" s="365" t="n"/>
      <c r="Z33" s="366" t="n"/>
      <c r="AA33" s="952" t="n"/>
      <c r="AR33" s="951" t="n"/>
    </row>
    <row r="34" ht="12" customHeight="1">
      <c r="A34" s="364" t="n"/>
      <c r="B34" s="365" t="n"/>
      <c r="C34" s="365" t="n"/>
      <c r="D34" s="365" t="n"/>
      <c r="E34" s="388">
        <f>IF(PktTSMachLbl07&lt;&gt;0,PktTSMachLbl07,"")</f>
        <v/>
      </c>
      <c r="F34" s="389">
        <f>IF(PktTSMachVal07&lt;&gt;0,PktTSMachVal07,"")</f>
        <v/>
      </c>
      <c r="G34" s="365" t="n"/>
      <c r="H34" s="365" t="n"/>
      <c r="I34" s="365" t="n"/>
      <c r="J34" s="365" t="n"/>
      <c r="K34" s="365" t="n"/>
      <c r="L34" s="365" t="n"/>
      <c r="M34" s="365" t="n"/>
      <c r="N34" s="365" t="n"/>
      <c r="O34" s="365" t="n"/>
      <c r="P34" s="366" t="n"/>
      <c r="Q34" s="364" t="n"/>
      <c r="R34" s="365" t="n"/>
      <c r="S34" s="365" t="n"/>
      <c r="T34" s="388">
        <f>IF(PktTSPelLbl07&lt;&gt;0,PktTSPelLbl07,"")</f>
        <v/>
      </c>
      <c r="U34" s="365">
        <f>IF(PktTSPelVal07&lt;&gt;0,PktTSPelVal07,"")</f>
        <v/>
      </c>
      <c r="V34" s="365" t="n"/>
      <c r="W34" s="365" t="n"/>
      <c r="X34" s="365" t="n"/>
      <c r="Y34" s="365" t="n"/>
      <c r="Z34" s="366" t="n"/>
      <c r="AA34" s="952" t="n"/>
      <c r="AR34" s="951" t="n"/>
    </row>
    <row r="35" ht="12" customHeight="1">
      <c r="A35" s="364" t="n"/>
      <c r="B35" s="365" t="n"/>
      <c r="C35" s="365" t="n"/>
      <c r="D35" s="365" t="n"/>
      <c r="E35" s="388">
        <f>IF(PktTSMachLbl08&lt;&gt;0,PktTSMachLbl08,"")</f>
        <v/>
      </c>
      <c r="F35" s="389">
        <f>IF(PktTSMachVal08&lt;&gt;0,PktTSMachVal08,"")</f>
        <v/>
      </c>
      <c r="G35" s="365" t="n"/>
      <c r="H35" s="365" t="n"/>
      <c r="I35" s="365" t="n"/>
      <c r="J35" s="365" t="n"/>
      <c r="K35" s="365" t="n"/>
      <c r="L35" s="365" t="n"/>
      <c r="M35" s="365" t="n"/>
      <c r="N35" s="365" t="n"/>
      <c r="O35" s="365" t="n"/>
      <c r="P35" s="366" t="n"/>
      <c r="Q35" s="364" t="n"/>
      <c r="R35" s="365" t="n"/>
      <c r="S35" s="365" t="n"/>
      <c r="T35" s="388">
        <f>IF(PktTSPelLbl08&lt;&gt;0,PktTSPelLbl08,"")</f>
        <v/>
      </c>
      <c r="U35" s="365">
        <f>IF(PktTSPelVal08&lt;&gt;0,PktTSPelVal08,"")</f>
        <v/>
      </c>
      <c r="V35" s="365" t="n"/>
      <c r="W35" s="365" t="n"/>
      <c r="X35" s="365" t="n"/>
      <c r="Y35" s="365" t="n"/>
      <c r="Z35" s="366" t="n"/>
      <c r="AA35" s="952" t="n"/>
      <c r="AR35" s="951" t="n"/>
    </row>
    <row r="36" ht="12" customHeight="1">
      <c r="A36" s="364" t="n"/>
      <c r="B36" s="365" t="n"/>
      <c r="C36" s="365" t="n"/>
      <c r="D36" s="365" t="n"/>
      <c r="E36" s="388">
        <f>IF(PktTSMachLbl09&lt;&gt;0,PktTSMachLbl09,"")</f>
        <v/>
      </c>
      <c r="F36" s="365">
        <f>IF(PktTSMachVal09&lt;&gt;0,PktTSMachVal09,"")</f>
        <v/>
      </c>
      <c r="G36" s="365" t="n"/>
      <c r="H36" s="365" t="n"/>
      <c r="I36" s="365" t="n"/>
      <c r="J36" s="365" t="n"/>
      <c r="K36" s="365" t="n"/>
      <c r="L36" s="365" t="n"/>
      <c r="M36" s="365" t="n"/>
      <c r="N36" s="365" t="n"/>
      <c r="O36" s="365" t="n"/>
      <c r="P36" s="366" t="n"/>
      <c r="Q36" s="364" t="n"/>
      <c r="R36" s="365" t="n"/>
      <c r="S36" s="365" t="n"/>
      <c r="T36" s="388">
        <f>IF(PktTSPelLbl09&lt;&gt;0,PktTSPelLbl09,"")</f>
        <v/>
      </c>
      <c r="U36" s="386">
        <f>IF(PktTSPelVal09&lt;&gt;0,PktTSPelVal09,"")</f>
        <v/>
      </c>
      <c r="V36" s="365" t="n"/>
      <c r="W36" s="365" t="n"/>
      <c r="X36" s="365" t="n"/>
      <c r="Y36" s="365" t="n"/>
      <c r="Z36" s="366" t="n"/>
      <c r="AA36" s="952" t="n"/>
      <c r="AR36" s="951" t="n"/>
    </row>
    <row r="37" ht="12" customHeight="1">
      <c r="A37" s="364" t="n"/>
      <c r="B37" s="365" t="n"/>
      <c r="C37" s="365" t="n"/>
      <c r="D37" s="365" t="n"/>
      <c r="E37" s="388">
        <f>IF(PktTSMachLbl10&lt;&gt;0,PktTSMachLbl10,"")</f>
        <v/>
      </c>
      <c r="F37" s="365">
        <f>IF(PktTSMachVal10&lt;&gt;0,PktTSMachVal10,"")</f>
        <v/>
      </c>
      <c r="G37" s="365" t="n"/>
      <c r="H37" s="365" t="n"/>
      <c r="I37" s="365" t="n"/>
      <c r="J37" s="365" t="n"/>
      <c r="K37" s="365" t="n"/>
      <c r="L37" s="365" t="n"/>
      <c r="M37" s="365" t="n"/>
      <c r="N37" s="365" t="n"/>
      <c r="O37" s="365" t="n"/>
      <c r="P37" s="366" t="n"/>
      <c r="Q37" s="364" t="n"/>
      <c r="R37" s="365" t="n"/>
      <c r="S37" s="365" t="n"/>
      <c r="T37" s="388">
        <f>IF(PktTSPelLbl10&lt;&gt;0,PktTSPelLbl10,"")</f>
        <v/>
      </c>
      <c r="U37" s="365">
        <f>IF(PktTSPelVal10&lt;&gt;0,PktTSPelVal10,"")</f>
        <v/>
      </c>
      <c r="V37" s="365" t="n"/>
      <c r="W37" s="365" t="n"/>
      <c r="X37" s="365" t="n"/>
      <c r="Y37" s="365" t="n"/>
      <c r="Z37" s="366" t="n"/>
      <c r="AA37" s="952" t="n"/>
      <c r="AR37" s="951" t="n"/>
    </row>
    <row r="38" ht="12" customHeight="1">
      <c r="A38" s="364" t="n"/>
      <c r="B38" s="365" t="n"/>
      <c r="C38" s="365" t="n"/>
      <c r="D38" s="365" t="n"/>
      <c r="E38" s="388">
        <f>IF(PktTSMachLbl11&lt;&gt;0,PktTSMachLbl11,"")</f>
        <v/>
      </c>
      <c r="F38" s="365">
        <f>IF(PktTSMachVal11&lt;&gt;0,PktTSMachVal11,"")</f>
        <v/>
      </c>
      <c r="G38" s="365" t="n"/>
      <c r="H38" s="365" t="n"/>
      <c r="I38" s="365" t="inlineStr">
        <is>
          <t>PSI</t>
        </is>
      </c>
      <c r="J38" s="365" t="n"/>
      <c r="K38" s="365" t="n"/>
      <c r="L38" s="365" t="n"/>
      <c r="M38" s="365" t="n"/>
      <c r="N38" s="365" t="n"/>
      <c r="O38" s="365" t="n"/>
      <c r="P38" s="366" t="n"/>
      <c r="Q38" s="364" t="n"/>
      <c r="R38" s="365" t="n"/>
      <c r="S38" s="365" t="n"/>
      <c r="T38" s="388">
        <f>IF(PktTSPelLbl11&lt;&gt;0,PktTSPelLbl11,"")</f>
        <v/>
      </c>
      <c r="U38" s="365">
        <f>IF(PktTSPelVal11&lt;&gt;0,PktTSPelVal11,"")</f>
        <v/>
      </c>
      <c r="V38" s="365" t="n"/>
      <c r="W38" s="365" t="n"/>
      <c r="X38" s="365" t="n"/>
      <c r="Y38" s="365" t="n"/>
      <c r="Z38" s="366" t="n"/>
      <c r="AA38" s="952" t="n"/>
      <c r="AR38" s="951" t="n"/>
    </row>
    <row r="39" ht="12" customHeight="1">
      <c r="A39" s="364" t="n"/>
      <c r="B39" s="365" t="n"/>
      <c r="C39" s="365" t="n"/>
      <c r="D39" s="365" t="n"/>
      <c r="E39" s="388">
        <f>IF(PktTSMachLbl12&lt;&gt;0,PktTSMachLbl12,"")</f>
        <v/>
      </c>
      <c r="F39" s="365">
        <f>IF(PktTSMachVal12&lt;&gt;0,PktTSMachVal12,"")</f>
        <v/>
      </c>
      <c r="G39" s="365" t="n"/>
      <c r="H39" s="365" t="n"/>
      <c r="I39" s="365" t="inlineStr">
        <is>
          <t>PSI</t>
        </is>
      </c>
      <c r="J39" s="365" t="n"/>
      <c r="K39" s="365" t="n"/>
      <c r="L39" s="365" t="n"/>
      <c r="M39" s="365" t="n"/>
      <c r="N39" s="365" t="n"/>
      <c r="O39" s="365" t="n"/>
      <c r="P39" s="366" t="n"/>
      <c r="Q39" s="364" t="n"/>
      <c r="R39" s="365" t="n"/>
      <c r="S39" s="365" t="n"/>
      <c r="T39" s="388" t="n"/>
      <c r="U39" s="365" t="n"/>
      <c r="V39" s="365" t="n"/>
      <c r="W39" s="365" t="n"/>
      <c r="X39" s="388" t="n"/>
      <c r="Y39" s="365" t="n"/>
      <c r="Z39" s="366" t="n"/>
      <c r="AA39" s="952" t="n"/>
      <c r="AR39" s="951" t="n"/>
    </row>
    <row r="40" ht="12" customHeight="1">
      <c r="A40" s="364" t="n"/>
      <c r="B40" s="365" t="n"/>
      <c r="C40" s="365" t="n"/>
      <c r="D40" s="365" t="n"/>
      <c r="E40" s="388">
        <f>IF(PktTSMachLbl13&lt;&gt;0,PktTSMachLbl13,"")</f>
        <v/>
      </c>
      <c r="F40" s="365">
        <f>IF(PktTSMachVal13&lt;&gt;0,PktTSMachVal13,"")</f>
        <v/>
      </c>
      <c r="G40" s="365" t="n"/>
      <c r="H40" s="365" t="n"/>
      <c r="I40" s="365" t="n"/>
      <c r="J40" s="365" t="n"/>
      <c r="K40" s="365" t="n"/>
      <c r="L40" s="365" t="n"/>
      <c r="M40" s="365" t="n"/>
      <c r="N40" s="365" t="n"/>
      <c r="O40" s="365" t="n"/>
      <c r="P40" s="366" t="n"/>
      <c r="Q40" s="364" t="n"/>
      <c r="R40" s="365" t="n"/>
      <c r="S40" s="365" t="n"/>
      <c r="T40" s="388" t="n"/>
      <c r="U40" s="365" t="n"/>
      <c r="V40" s="365" t="n"/>
      <c r="W40" s="365" t="n"/>
      <c r="Z40" s="366" t="n"/>
      <c r="AA40" s="952" t="n"/>
      <c r="AR40" s="951" t="n"/>
    </row>
    <row r="41" ht="12" customHeight="1">
      <c r="A41" s="364" t="n"/>
      <c r="B41" s="365" t="n"/>
      <c r="C41" s="365" t="n"/>
      <c r="D41" s="365" t="n"/>
      <c r="F41" s="333">
        <f>IF(PktTSMachVal14&lt;&gt;0,PktTSMachVal14,"")</f>
        <v/>
      </c>
      <c r="M41" s="365" t="n"/>
      <c r="N41" s="365" t="n"/>
      <c r="O41" s="365" t="n"/>
      <c r="P41" s="366" t="n"/>
      <c r="Q41" s="364" t="n"/>
      <c r="R41" s="365" t="n"/>
      <c r="T41" s="388" t="n"/>
      <c r="U41" s="365" t="n"/>
      <c r="V41" s="365" t="n"/>
      <c r="W41" s="365" t="n"/>
      <c r="X41" s="388" t="n"/>
      <c r="Y41" s="365" t="n"/>
      <c r="Z41" s="366" t="n"/>
      <c r="AA41" s="479" t="n"/>
      <c r="AB41" s="482" t="n"/>
      <c r="AC41" s="479" t="n"/>
      <c r="AD41" s="479" t="n"/>
      <c r="AE41" s="479" t="n"/>
      <c r="AF41" s="479" t="n"/>
      <c r="AG41" s="479" t="n"/>
      <c r="AH41" s="479" t="n"/>
      <c r="AI41" s="482" t="n"/>
      <c r="AJ41" s="479" t="n"/>
      <c r="AK41" s="479" t="n"/>
      <c r="AL41" s="479" t="n"/>
      <c r="AM41" s="479" t="n"/>
      <c r="AN41" s="479" t="n"/>
      <c r="AO41" s="479" t="n"/>
      <c r="AP41" s="483" t="inlineStr">
        <is>
          <t>Scheduled Changeover @ EOpreviousJob:</t>
        </is>
      </c>
      <c r="AQ41" s="479" t="n">
        <v>340</v>
      </c>
      <c r="AR41" s="481" t="n"/>
    </row>
    <row r="42" ht="12" customHeight="1" thickBot="1">
      <c r="A42" s="371" t="n"/>
      <c r="B42" s="374" t="n"/>
      <c r="C42" s="374" t="n"/>
      <c r="D42" s="339" t="n"/>
      <c r="E42" s="339" t="n"/>
      <c r="F42" s="339">
        <f>IF(PktTSMachVal15&lt;&gt;0,PktTSMachVal15,"")</f>
        <v/>
      </c>
      <c r="G42" s="339" t="n"/>
      <c r="H42" s="339" t="n"/>
      <c r="I42" s="339" t="n"/>
      <c r="J42" s="339" t="n"/>
      <c r="K42" s="339" t="n"/>
      <c r="L42" s="339" t="n"/>
      <c r="M42" s="374" t="n"/>
      <c r="N42" s="374" t="n"/>
      <c r="O42" s="374" t="n"/>
      <c r="P42" s="372" t="n"/>
      <c r="Q42" s="371" t="n"/>
      <c r="R42" s="374" t="n"/>
      <c r="S42" s="374" t="n"/>
      <c r="T42" s="416" t="n"/>
      <c r="U42" s="374" t="n"/>
      <c r="V42" s="374" t="n"/>
      <c r="W42" s="374" t="n"/>
      <c r="X42" s="374" t="n"/>
      <c r="Y42" s="374" t="n"/>
      <c r="Z42" s="372" t="n"/>
      <c r="AA42" s="484" t="n"/>
      <c r="AB42" s="484" t="n"/>
      <c r="AC42" s="485" t="n"/>
      <c r="AD42" s="484" t="n"/>
      <c r="AE42" s="484" t="n"/>
      <c r="AF42" s="484" t="n"/>
      <c r="AG42" s="484" t="n"/>
      <c r="AH42" s="484" t="n"/>
      <c r="AI42" s="484" t="n"/>
      <c r="AJ42" s="484" t="n"/>
      <c r="AK42" s="484" t="n"/>
      <c r="AL42" s="484" t="n"/>
      <c r="AM42" s="484" t="n"/>
      <c r="AN42" s="484" t="n"/>
      <c r="AO42" s="484" t="n"/>
      <c r="AP42" s="484" t="n"/>
      <c r="AQ42" s="487" t="inlineStr">
        <is>
          <t>Changeover = Moderate</t>
        </is>
      </c>
      <c r="AR42" s="486" t="n"/>
    </row>
  </sheetData>
  <sheetProtection selectLockedCells="1" selectUnlockedCells="0" sheet="1" objects="1" insertRows="1" insertHyperlinks="1" autoFilter="1" scenarios="1" formatColumns="1" deleteColumns="1" insertColumns="1" pivotTables="1" deleteRows="1" formatCells="1" formatRows="1" sort="1"/>
  <mergeCells count="1">
    <mergeCell ref="AA28:AR40"/>
  </mergeCells>
  <printOptions horizontalCentered="1"/>
  <pageMargins left="0.25" right="0.25" top="0.75" bottom="0.75" header="0.3" footer="0.3"/>
  <pageSetup orientation="landscape" paperSize="5"/>
  <headerFooter alignWithMargins="0">
    <oddHeader/>
    <oddFooter>&amp;L&amp;8 NETWORK LOCATION:  MPCI data\Forms\Production Forms&amp;R&amp;8 RETENTION REQUIREMENT:  Maintain with job packet for 3 years.</oddFooter>
    <evenHeader/>
    <evenFooter/>
    <firstHeader/>
    <firstFooter/>
  </headerFooter>
</worksheet>
</file>

<file path=xl/worksheets/sheet2.xml><?xml version="1.0" encoding="utf-8"?>
<worksheet xmlns:r="http://schemas.openxmlformats.org/officeDocument/2006/relationships" xmlns="http://schemas.openxmlformats.org/spreadsheetml/2006/main">
  <sheetPr codeName="Sheet2">
    <outlinePr summaryBelow="1" summaryRight="1"/>
    <pageSetUpPr fitToPage="1"/>
  </sheetPr>
  <dimension ref="A1:BJ258"/>
  <sheetViews>
    <sheetView showGridLines="0" zoomScale="85" zoomScaleNormal="85" zoomScaleSheetLayoutView="70" workbookViewId="0">
      <selection activeCell="C13" sqref="C13"/>
    </sheetView>
  </sheetViews>
  <sheetFormatPr baseColWidth="8" defaultColWidth="9.1796875" defaultRowHeight="12.5"/>
  <cols>
    <col width="47.81640625" customWidth="1" style="1" min="1" max="1"/>
    <col width="3" customWidth="1" style="1" min="2" max="2"/>
    <col width="17.7265625" bestFit="1" customWidth="1" min="3" max="3"/>
    <col width="25.7265625" bestFit="1" customWidth="1" min="4" max="4"/>
    <col width="5.7265625" bestFit="1" customWidth="1" min="5" max="5"/>
    <col width="17.81640625" bestFit="1" customWidth="1" min="6" max="6"/>
    <col width="27.453125" customWidth="1" min="7" max="7"/>
    <col width="6.54296875" customWidth="1" min="8" max="8"/>
    <col width="20.453125" bestFit="1" customWidth="1" min="9" max="9"/>
    <col width="8.81640625" bestFit="1" customWidth="1" min="10" max="10"/>
    <col width="16.26953125" bestFit="1" customWidth="1" min="11" max="11"/>
    <col width="12.1796875" bestFit="1" customWidth="1" min="12" max="12"/>
    <col width="14.7265625" bestFit="1" customWidth="1" min="13" max="13"/>
    <col width="9" bestFit="1" customWidth="1" min="14" max="14"/>
    <col width="13.7265625" bestFit="1" customWidth="1" min="15" max="15"/>
    <col width="11" customWidth="1" min="16" max="16"/>
    <col width="10.26953125" bestFit="1" customWidth="1" min="17" max="18"/>
  </cols>
  <sheetData>
    <row r="1" ht="29.25" customHeight="1">
      <c r="A1" s="845" t="inlineStr">
        <is>
          <t>MPCI</t>
        </is>
      </c>
      <c r="B1" s="292" t="n"/>
      <c r="C1" s="7" t="inlineStr">
        <is>
          <t>JOB PACKET WORKSHEET</t>
        </is>
      </c>
      <c r="D1" s="8" t="n"/>
      <c r="E1" s="8" t="n"/>
      <c r="F1" s="10" t="n"/>
      <c r="G1" s="9" t="inlineStr">
        <is>
          <t>DOC: JOBPACK</t>
        </is>
      </c>
      <c r="H1" s="10" t="n"/>
      <c r="I1" s="290" t="inlineStr">
        <is>
          <t>REVISION LEVEL: 005</t>
        </is>
      </c>
      <c r="J1" s="5" t="n"/>
      <c r="L1" s="5" t="n"/>
      <c r="M1" s="5" t="n"/>
      <c r="N1" s="5" t="n"/>
      <c r="O1" s="5" t="n"/>
    </row>
    <row r="2" ht="29.25" customHeight="1">
      <c r="A2" s="846" t="n"/>
      <c r="B2" s="293" t="n"/>
      <c r="C2" s="9" t="inlineStr">
        <is>
          <t>Reviewed by: 
Process Manager</t>
        </is>
      </c>
      <c r="D2" s="11" t="n"/>
      <c r="E2" s="9" t="inlineStr">
        <is>
          <t>Approved by:
Site Manager</t>
        </is>
      </c>
      <c r="F2" s="12" t="n"/>
      <c r="G2" s="9" t="inlineStr">
        <is>
          <t>Reference: JPX805</t>
        </is>
      </c>
      <c r="H2" s="12" t="n"/>
      <c r="I2" s="291" t="inlineStr">
        <is>
          <t>ISSUE DATE: 10/27/2005</t>
        </is>
      </c>
      <c r="J2" s="5" t="n"/>
      <c r="L2" s="5" t="n"/>
      <c r="M2" s="5" t="n"/>
      <c r="N2" s="5" t="n"/>
      <c r="O2" s="5" t="n"/>
    </row>
    <row r="3" ht="13" customHeight="1">
      <c r="A3" s="294" t="inlineStr">
        <is>
          <t>BEFORE and AFTER USE OF THIS PROGRAM, YOU  FOLLOW PRESCRIBED METHODS FOR PREPARING JOB PACKETS</t>
        </is>
      </c>
      <c r="B3" s="294" t="n"/>
      <c r="C3" s="16" t="n"/>
      <c r="D3" s="16" t="n"/>
      <c r="E3" s="16" t="n"/>
      <c r="F3" s="16" t="n"/>
      <c r="G3" s="16" t="n"/>
      <c r="H3" s="16" t="n"/>
      <c r="I3" s="16" t="n"/>
      <c r="J3" s="5" t="n"/>
      <c r="K3" s="5" t="n"/>
      <c r="L3" s="5" t="n"/>
      <c r="M3" s="5" t="n"/>
      <c r="N3" s="5" t="n"/>
      <c r="O3" s="5" t="n"/>
    </row>
    <row r="4" ht="13" customHeight="1">
      <c r="A4" s="295" t="n"/>
      <c r="B4" s="295" t="n"/>
      <c r="C4" s="5" t="n"/>
      <c r="D4" s="13" t="n"/>
      <c r="E4" s="39" t="inlineStr">
        <is>
          <t>∆</t>
        </is>
      </c>
      <c r="F4" s="21" t="inlineStr">
        <is>
          <t>OD / BOM PARTS</t>
        </is>
      </c>
      <c r="G4" s="3" t="inlineStr">
        <is>
          <t>RAW MATERIAL</t>
        </is>
      </c>
      <c r="H4" s="39" t="inlineStr">
        <is>
          <t>∆</t>
        </is>
      </c>
      <c r="I4" s="333" t="n"/>
      <c r="J4" s="333" t="n"/>
      <c r="K4" s="333" t="n"/>
      <c r="L4" s="333" t="n"/>
      <c r="M4" s="333" t="n"/>
      <c r="N4" s="333" t="n"/>
    </row>
    <row r="5" ht="14" customHeight="1">
      <c r="A5" s="296" t="inlineStr">
        <is>
          <t xml:space="preserve"> Your Name</t>
        </is>
      </c>
      <c r="B5" s="296" t="n"/>
      <c r="C5" s="423" t="n"/>
      <c r="D5" s="446" t="inlineStr">
        <is>
          <t>Feeder 1</t>
        </is>
      </c>
      <c r="E5" s="309">
        <f> IF([0]!Feeder1Parts =#REF!,"","C")</f>
        <v/>
      </c>
      <c r="F5" s="318" t="n"/>
      <c r="G5" s="315" t="n"/>
      <c r="H5" s="309">
        <f> IF([0]!Feeder1RMname =#REF!,"","C")</f>
        <v/>
      </c>
      <c r="I5" s="433" t="n"/>
      <c r="J5" s="363" t="n"/>
      <c r="K5" s="365" t="n"/>
      <c r="L5" s="365" t="n"/>
      <c r="M5" s="447" t="n"/>
      <c r="N5" s="365" t="n"/>
      <c r="BJ5" t="inlineStr">
        <is>
          <t>3 a, b, c</t>
        </is>
      </c>
    </row>
    <row r="6" ht="14" customHeight="1">
      <c r="A6" s="296" t="inlineStr">
        <is>
          <t>Job #, Line #, Amount, BOM all match Prod Schedule?</t>
        </is>
      </c>
      <c r="B6" s="296" t="n"/>
      <c r="C6" s="423" t="n"/>
      <c r="D6" s="446" t="inlineStr">
        <is>
          <t>Feeder 2</t>
        </is>
      </c>
      <c r="E6" s="309">
        <f> IF([0]!Feeder2Parts =#REF!,"","C")</f>
        <v/>
      </c>
      <c r="F6" s="318" t="n"/>
      <c r="G6" s="315" t="n"/>
      <c r="H6" s="309">
        <f> IF([0]!Feeder2RMname =#REF!,"","C")</f>
        <v/>
      </c>
      <c r="I6" s="434" t="n"/>
      <c r="J6" s="363" t="n"/>
      <c r="K6" s="365" t="n"/>
      <c r="L6" s="365" t="n"/>
      <c r="M6" s="447" t="n"/>
      <c r="N6" s="365" t="n"/>
    </row>
    <row r="7" ht="14" customHeight="1">
      <c r="A7" s="296" t="inlineStr">
        <is>
          <t>Deviation/Waiver #s all match Prod Schedule?</t>
        </is>
      </c>
      <c r="B7" s="296" t="n"/>
      <c r="C7" s="423" t="n"/>
      <c r="D7" s="446" t="inlineStr">
        <is>
          <t>Feeder 3</t>
        </is>
      </c>
      <c r="E7" s="309">
        <f> IF([0]!Feeder3Parts =#REF!,"","C")</f>
        <v/>
      </c>
      <c r="F7" s="318" t="n"/>
      <c r="G7" s="315" t="n"/>
      <c r="H7" s="309">
        <f> IF([0]!Feeder3RMname =#REF!,"","C")</f>
        <v/>
      </c>
      <c r="I7" s="433" t="n"/>
      <c r="J7" s="363" t="n"/>
      <c r="K7" s="365" t="n"/>
      <c r="L7" s="365" t="n"/>
      <c r="M7" s="447" t="n"/>
      <c r="N7" s="365" t="n"/>
    </row>
    <row r="8" ht="14" customHeight="1">
      <c r="A8" s="297" t="n"/>
      <c r="B8" s="39" t="inlineStr">
        <is>
          <t>∆</t>
        </is>
      </c>
      <c r="C8" s="34" t="n"/>
      <c r="D8" s="446" t="inlineStr">
        <is>
          <t>Feeder 4</t>
        </is>
      </c>
      <c r="E8" s="309">
        <f> IF([0]!Feeder4Parts =#REF!,"","C")</f>
        <v/>
      </c>
      <c r="F8" s="318" t="n"/>
      <c r="G8" s="315" t="n"/>
      <c r="H8" s="309">
        <f> IF([0]!Feeder4RMname =#REF!,"","C")</f>
        <v/>
      </c>
      <c r="I8" s="433" t="n"/>
      <c r="J8" s="363" t="n"/>
      <c r="K8" s="365" t="n"/>
      <c r="L8" s="365" t="n"/>
      <c r="M8" s="447" t="n"/>
      <c r="N8" s="365" t="n"/>
    </row>
    <row r="9" ht="17.5" customHeight="1">
      <c r="A9" s="296" t="inlineStr">
        <is>
          <t>Wavier / Deviation number</t>
        </is>
      </c>
      <c r="B9" s="310" t="n"/>
      <c r="C9" s="424" t="n"/>
      <c r="D9" s="446" t="inlineStr">
        <is>
          <t>Feeder 5</t>
        </is>
      </c>
      <c r="E9" s="309">
        <f> IF([0]!Feeder5Parts =#REF!,"","C")</f>
        <v/>
      </c>
      <c r="F9" s="318" t="n"/>
      <c r="G9" s="315" t="n"/>
      <c r="H9" s="309">
        <f> IF([0]!Feeder5RMname =#REF!,"","C")</f>
        <v/>
      </c>
      <c r="I9" s="433" t="n"/>
      <c r="J9" s="363" t="n"/>
      <c r="K9" s="365" t="n"/>
      <c r="L9" s="365" t="n"/>
      <c r="M9" s="447" t="n"/>
      <c r="N9" s="365" t="n"/>
    </row>
    <row r="10" ht="17.5" customHeight="1">
      <c r="A10" s="296" t="inlineStr">
        <is>
          <t>Wavier / Deviation number</t>
        </is>
      </c>
      <c r="B10" s="310" t="n"/>
      <c r="C10" s="425" t="n"/>
      <c r="D10" s="446" t="inlineStr">
        <is>
          <t>Feeder 6</t>
        </is>
      </c>
      <c r="E10" s="309">
        <f> IF([0]!Feeder6Parts =#REF!,"","C")</f>
        <v/>
      </c>
      <c r="F10" s="318" t="n"/>
      <c r="G10" s="315" t="n"/>
      <c r="H10" s="309">
        <f> IF([0]!Feeder6RMname =#REF!,"","C")</f>
        <v/>
      </c>
      <c r="I10" s="18" t="n"/>
      <c r="J10" s="363" t="n"/>
      <c r="K10" s="365" t="n"/>
      <c r="L10" s="365" t="n"/>
      <c r="M10" s="447" t="n"/>
      <c r="N10" s="365" t="n"/>
    </row>
    <row r="11" ht="17.5" customHeight="1">
      <c r="A11" s="296" t="inlineStr">
        <is>
          <t>Wavier / Deviation number</t>
        </is>
      </c>
      <c r="B11" s="310" t="n"/>
      <c r="C11" s="426" t="n"/>
      <c r="D11" s="446" t="inlineStr">
        <is>
          <t>Feeder 7</t>
        </is>
      </c>
      <c r="E11" s="309">
        <f> IF([0]!Feeder7Parts =#REF!,"","C")</f>
        <v/>
      </c>
      <c r="F11" s="318" t="n"/>
      <c r="G11" s="315" t="n"/>
      <c r="H11" s="309">
        <f> IF([0]!Feeder7RMname =#REF!,"","C")</f>
        <v/>
      </c>
      <c r="I11" s="428" t="n"/>
      <c r="J11" s="363" t="n"/>
      <c r="K11" s="365" t="n"/>
      <c r="L11" s="365" t="n"/>
      <c r="M11" s="447" t="n"/>
      <c r="N11" s="365" t="n"/>
    </row>
    <row r="12" ht="14" customHeight="1">
      <c r="A12" s="298" t="inlineStr">
        <is>
          <t>Changeover Code</t>
        </is>
      </c>
      <c r="B12" s="310" t="n"/>
      <c r="C12" s="427" t="n"/>
      <c r="D12" s="446" t="inlineStr">
        <is>
          <t>Feeder 8</t>
        </is>
      </c>
      <c r="E12" s="309">
        <f> IF([0]!Feeder8Parts =#REF!,"","C")</f>
        <v/>
      </c>
      <c r="F12" s="536" t="n">
        <v>8</v>
      </c>
      <c r="G12" s="332" t="inlineStr">
        <is>
          <t>B1</t>
        </is>
      </c>
      <c r="H12" s="309">
        <f> IF([0]!Feeder8RMname =#REF!,"","C")</f>
        <v/>
      </c>
      <c r="I12" s="433" t="n"/>
      <c r="J12" s="363" t="n"/>
      <c r="K12" s="365" t="n"/>
      <c r="L12" s="365" t="n"/>
      <c r="M12" s="447" t="n"/>
      <c r="N12" s="365" t="n"/>
    </row>
    <row r="13" ht="14" customHeight="1">
      <c r="A13" s="296" t="inlineStr">
        <is>
          <t>BOMassigned feeder selections are acceptable?</t>
        </is>
      </c>
      <c r="B13" s="310" t="n"/>
      <c r="C13" s="427" t="n"/>
      <c r="D13" s="14" t="inlineStr">
        <is>
          <t>Feeder 9</t>
        </is>
      </c>
      <c r="E13" s="309">
        <f> IF([0]!Feeder9Parts =#REF!,"","C")</f>
        <v/>
      </c>
      <c r="F13" s="318" t="n"/>
      <c r="G13" s="315" t="n"/>
      <c r="H13" s="309">
        <f> IF([0]!Feeder9RMname =#REF!,"","C")</f>
        <v/>
      </c>
      <c r="I13" s="433" t="n"/>
      <c r="J13" s="363" t="n"/>
      <c r="K13" s="365" t="n"/>
      <c r="L13" s="365" t="n"/>
      <c r="M13" s="447" t="n"/>
      <c r="N13" s="365" t="n"/>
    </row>
    <row r="14" ht="13" customHeight="1">
      <c r="A14" s="299" t="inlineStr">
        <is>
          <t>Sum of all material parts on the BOM/Deviation / Wavier</t>
        </is>
      </c>
      <c r="B14" s="309">
        <f> IF([0]!EnteredSumParts = SUM(#REF!),"","C")</f>
        <v/>
      </c>
      <c r="C14" s="847" t="n"/>
      <c r="D14" s="446" t="n"/>
      <c r="E14" s="1" t="n"/>
      <c r="F14" s="3" t="n"/>
      <c r="G14" s="3" t="n"/>
      <c r="H14" s="311" t="n"/>
    </row>
    <row r="15" ht="14" customHeight="1">
      <c r="A15" s="296" t="n"/>
      <c r="B15" s="296" t="n"/>
      <c r="C15" s="5" t="n"/>
      <c r="D15" s="446" t="inlineStr">
        <is>
          <t>B1_01</t>
        </is>
      </c>
      <c r="E15" s="309">
        <f> IF([0]!Blend01Parts =#REF!,"","C")</f>
        <v/>
      </c>
      <c r="F15" s="848" t="n"/>
      <c r="G15" s="315" t="n"/>
      <c r="H15" s="309">
        <f> IF([0]!Blend01RMname =#REF!,"","C")</f>
        <v/>
      </c>
      <c r="I15" s="432" t="n"/>
      <c r="J15" s="365" t="n"/>
      <c r="K15" s="436" t="n"/>
      <c r="L15" s="390" t="n"/>
      <c r="M15" s="437" t="n"/>
      <c r="N15" s="390" t="n"/>
      <c r="O15" s="443" t="n"/>
      <c r="P15" s="438" t="n"/>
    </row>
    <row r="16" ht="14" customHeight="1">
      <c r="A16" s="300" t="inlineStr">
        <is>
          <t>From OD / BOM</t>
        </is>
      </c>
      <c r="B16" s="300" t="n"/>
      <c r="C16" s="5" t="n"/>
      <c r="D16" s="446" t="inlineStr">
        <is>
          <t>B1_02</t>
        </is>
      </c>
      <c r="E16" s="309">
        <f> IF([0]!Blend02Parts =#REF!,"","C")</f>
        <v/>
      </c>
      <c r="F16" s="848" t="n"/>
      <c r="G16" s="315" t="n"/>
      <c r="H16" s="309">
        <f> IF([0]!Blend02RMname =#REF!,"","C")</f>
        <v/>
      </c>
      <c r="I16" s="432" t="n"/>
      <c r="J16" s="365" t="n"/>
      <c r="K16" s="439" t="n"/>
      <c r="L16" s="386" t="n"/>
      <c r="M16" s="365" t="n"/>
      <c r="N16" s="365" t="n"/>
      <c r="O16" s="388" t="n"/>
      <c r="P16" s="440" t="n"/>
    </row>
    <row r="17" ht="14" customHeight="1">
      <c r="A17" s="301" t="n"/>
      <c r="B17" s="39" t="inlineStr">
        <is>
          <t>∆</t>
        </is>
      </c>
      <c r="D17" s="446" t="inlineStr">
        <is>
          <t>B1_03</t>
        </is>
      </c>
      <c r="E17" s="309">
        <f> IF([0]!Blend03Parts =#REF!,"","C")</f>
        <v/>
      </c>
      <c r="F17" s="848" t="n"/>
      <c r="G17" s="315" t="n"/>
      <c r="H17" s="309">
        <f> IF([0]!Blend03RMname =#REF!,"","C")</f>
        <v/>
      </c>
      <c r="I17" s="432" t="n"/>
      <c r="J17" s="365" t="n"/>
      <c r="K17" s="439" t="n"/>
      <c r="L17" s="386" t="n"/>
      <c r="M17" s="365" t="n"/>
      <c r="N17" s="389" t="n"/>
      <c r="O17" s="388" t="n"/>
      <c r="P17" s="440" t="n"/>
    </row>
    <row r="18" ht="14" customHeight="1">
      <c r="A18" s="301" t="n"/>
      <c r="B18" s="309" t="n"/>
      <c r="C18" s="315" t="n"/>
      <c r="D18" s="446" t="inlineStr">
        <is>
          <t>B1_04</t>
        </is>
      </c>
      <c r="E18" s="309">
        <f> IF([0]!Blend04Parts =#REF!,"","C")</f>
        <v/>
      </c>
      <c r="F18" s="848" t="n"/>
      <c r="G18" s="315" t="n"/>
      <c r="H18" s="309">
        <f> IF([0]!Blend04RMname =#REF!,"","C")</f>
        <v/>
      </c>
      <c r="I18" s="432" t="n"/>
      <c r="J18" s="365" t="n"/>
      <c r="K18" s="439" t="n"/>
      <c r="L18" s="365" t="n"/>
      <c r="M18" s="365" t="n"/>
      <c r="N18" s="389" t="n"/>
      <c r="O18" s="388" t="n"/>
      <c r="P18" s="440" t="n"/>
    </row>
    <row r="19" ht="14" customHeight="1">
      <c r="A19" s="301" t="inlineStr">
        <is>
          <t>Rate</t>
        </is>
      </c>
      <c r="B19" s="309">
        <f> IF([0]!LineRateLbsPerHour =#REF!,"","C")</f>
        <v/>
      </c>
      <c r="C19" s="316" t="n"/>
      <c r="D19" s="446" t="inlineStr">
        <is>
          <t>B1_05</t>
        </is>
      </c>
      <c r="E19" s="309">
        <f> IF([0]!Blend05Parts =#REF!,"","C")</f>
        <v/>
      </c>
      <c r="F19" s="848" t="n"/>
      <c r="G19" s="315" t="n"/>
      <c r="H19" s="309">
        <f> IF([0]!Blend05RMname =#REF!,"","C")</f>
        <v/>
      </c>
      <c r="I19" s="432" t="n"/>
      <c r="J19" s="365" t="n"/>
      <c r="K19" s="439" t="n"/>
      <c r="L19" s="365" t="n"/>
      <c r="M19" s="365" t="n"/>
      <c r="N19" s="365" t="n"/>
      <c r="O19" s="388" t="n"/>
      <c r="P19" s="440" t="n"/>
    </row>
    <row r="20" ht="14" customHeight="1">
      <c r="A20" s="301" t="inlineStr">
        <is>
          <t>Screenpack</t>
        </is>
      </c>
      <c r="B20" s="309">
        <f> IF([0]!Screenpack =#REF!,"","C")</f>
        <v/>
      </c>
      <c r="C20" s="315" t="n"/>
      <c r="D20" s="446" t="inlineStr">
        <is>
          <t>B1_06</t>
        </is>
      </c>
      <c r="E20" s="309">
        <f> IF([0]!Blend06Parts =#REF!,"","C")</f>
        <v/>
      </c>
      <c r="F20" s="848" t="n"/>
      <c r="G20" s="315" t="n"/>
      <c r="H20" s="309">
        <f> IF([0]!Blend06RMname =#REF!,"","C")</f>
        <v/>
      </c>
      <c r="I20" s="432" t="n"/>
      <c r="J20" s="365" t="n"/>
      <c r="K20" s="439" t="n"/>
      <c r="L20" s="389" t="n"/>
      <c r="M20" s="365" t="n"/>
      <c r="N20" s="365" t="n"/>
      <c r="O20" s="388" t="n"/>
      <c r="P20" s="440" t="n"/>
      <c r="S20" s="365" t="n"/>
    </row>
    <row r="21" ht="14" customHeight="1">
      <c r="A21" s="301" t="inlineStr">
        <is>
          <t>Screw design</t>
        </is>
      </c>
      <c r="B21" s="309">
        <f> IF([0]!ScrewDesign =#REF!,"","C")</f>
        <v/>
      </c>
      <c r="C21" s="329" t="n"/>
      <c r="D21" s="446" t="inlineStr">
        <is>
          <t>B1_07</t>
        </is>
      </c>
      <c r="E21" s="309">
        <f> IF([0]!Blend07Parts =#REF!,"","C")</f>
        <v/>
      </c>
      <c r="F21" s="848" t="n"/>
      <c r="G21" s="315" t="n"/>
      <c r="H21" s="309">
        <f> IF([0]!Blend07RMname =#REF!,"","C")</f>
        <v/>
      </c>
      <c r="I21" s="432" t="n"/>
      <c r="J21" s="365" t="n"/>
      <c r="K21" s="439" t="n"/>
      <c r="L21" s="389" t="n"/>
      <c r="M21" s="365" t="n"/>
      <c r="N21" s="365" t="n"/>
      <c r="O21" s="388" t="n"/>
      <c r="P21" s="440" t="n"/>
      <c r="S21" s="365" t="n"/>
    </row>
    <row r="22" ht="14" customHeight="1">
      <c r="A22" s="301" t="inlineStr">
        <is>
          <t>Pellet type</t>
        </is>
      </c>
      <c r="B22" s="309">
        <f> IF([0]!PelletTypeUWorSC =#REF!,"","C")</f>
        <v/>
      </c>
      <c r="C22" s="330" t="n"/>
      <c r="D22" s="446" t="inlineStr">
        <is>
          <t>B1_08</t>
        </is>
      </c>
      <c r="E22" s="309">
        <f> IF([0]!Blend08Parts =#REF!,"","C")</f>
        <v/>
      </c>
      <c r="F22" s="848" t="n"/>
      <c r="G22" s="315" t="n"/>
      <c r="H22" s="309">
        <f> IF([0]!Blend08RMname =#REF!,"","C")</f>
        <v/>
      </c>
      <c r="I22" s="432" t="n"/>
      <c r="J22" s="365" t="n"/>
      <c r="K22" s="439" t="n"/>
      <c r="L22" s="365" t="n"/>
      <c r="M22" s="365" t="n"/>
      <c r="N22" s="365" t="n"/>
      <c r="O22" s="388" t="n"/>
      <c r="P22" s="444" t="n"/>
      <c r="S22" s="365" t="n"/>
    </row>
    <row r="23" ht="14" customHeight="1">
      <c r="A23" s="301" t="inlineStr">
        <is>
          <t>Recycle Constraint (%)</t>
        </is>
      </c>
      <c r="B23" s="309">
        <f> IF([0]!RecycleConstraintPercent =#REF!,"","C")</f>
        <v/>
      </c>
      <c r="C23" s="317" t="n"/>
      <c r="D23" s="446" t="inlineStr">
        <is>
          <t>B1_09</t>
        </is>
      </c>
      <c r="E23" s="309">
        <f> IF([0]!Blend09Parts =#REF!,"","C")</f>
        <v/>
      </c>
      <c r="F23" s="848" t="n"/>
      <c r="G23" s="315" t="n"/>
      <c r="H23" s="309">
        <f> IF([0]!Blend09RMname =#REF!,"","C")</f>
        <v/>
      </c>
      <c r="I23" s="432" t="n"/>
      <c r="J23" s="365" t="n"/>
      <c r="K23" s="439" t="n"/>
      <c r="L23" s="365" t="n"/>
      <c r="M23" s="365" t="n"/>
      <c r="N23" s="365" t="n"/>
      <c r="O23" s="388" t="n"/>
      <c r="P23" s="440" t="n"/>
      <c r="S23" s="365" t="n"/>
    </row>
    <row r="24" ht="14" customHeight="1">
      <c r="A24" s="301" t="inlineStr">
        <is>
          <t>Line type</t>
        </is>
      </c>
      <c r="B24" s="310" t="n"/>
      <c r="C24" s="331" t="n"/>
      <c r="D24" s="446" t="inlineStr">
        <is>
          <t>B1_10</t>
        </is>
      </c>
      <c r="E24" s="309">
        <f> IF([0]!Blend10Parts =#REF!,"","C")</f>
        <v/>
      </c>
      <c r="F24" s="848" t="n"/>
      <c r="G24" s="315" t="n"/>
      <c r="H24" s="309">
        <f> IF([0]!Blend10RMname =#REF!,"","C")</f>
        <v/>
      </c>
      <c r="I24" s="432" t="n"/>
      <c r="J24" s="365" t="n"/>
      <c r="K24" s="439" t="n"/>
      <c r="L24" s="365" t="n"/>
      <c r="M24" s="365" t="n"/>
      <c r="N24" s="365" t="n"/>
      <c r="O24" s="388" t="n"/>
      <c r="P24" s="440" t="n"/>
      <c r="S24" s="365" t="n"/>
    </row>
    <row r="25" ht="14" customHeight="1">
      <c r="A25" s="302" t="inlineStr">
        <is>
          <t>Production Tolerance</t>
        </is>
      </c>
      <c r="B25" s="310" t="n"/>
      <c r="C25" s="445" t="n"/>
      <c r="D25" s="446" t="inlineStr">
        <is>
          <t>B1_11</t>
        </is>
      </c>
      <c r="E25" s="309">
        <f> IF([0]!Blend11Parts =#REF!,"","C")</f>
        <v/>
      </c>
      <c r="F25" s="848" t="n"/>
      <c r="G25" s="315" t="n"/>
      <c r="H25" s="309">
        <f> IF([0]!Blend11RMname =#REF!,"","C")</f>
        <v/>
      </c>
      <c r="I25" s="432" t="n"/>
      <c r="J25" s="365" t="n"/>
      <c r="K25" s="439" t="n"/>
      <c r="L25" s="365" t="n"/>
      <c r="M25" s="365" t="n"/>
      <c r="N25" s="365" t="n"/>
      <c r="O25" s="388" t="n"/>
      <c r="P25" s="440" t="n"/>
      <c r="S25" s="365" t="n"/>
    </row>
    <row r="26" ht="14" customHeight="1">
      <c r="A26" s="15" t="inlineStr">
        <is>
          <t xml:space="preserve">Production Line </t>
        </is>
      </c>
      <c r="B26" s="309">
        <f> IF([0]!ProductionLineNumber =#REF!,"","C")</f>
        <v/>
      </c>
      <c r="C26" s="330" t="n"/>
      <c r="D26" s="446" t="inlineStr">
        <is>
          <t>B1_12</t>
        </is>
      </c>
      <c r="E26" s="309">
        <f> IF([0]!Blend12Parts =#REF!,"","C")</f>
        <v/>
      </c>
      <c r="F26" s="848" t="n"/>
      <c r="G26" s="315" t="n"/>
      <c r="H26" s="309">
        <f> IF([0]!Blend12RMname =#REF!,"","C")</f>
        <v/>
      </c>
      <c r="I26" s="432" t="n"/>
      <c r="J26" s="365" t="n"/>
      <c r="K26" s="439" t="n"/>
      <c r="L26" s="365" t="n"/>
      <c r="P26" s="528" t="n"/>
    </row>
    <row r="27" ht="14" customHeight="1">
      <c r="A27" s="15" t="inlineStr">
        <is>
          <t>JOB#</t>
        </is>
      </c>
      <c r="B27" s="310">
        <f> IF([0]!JobNumber =#REF!,"","C")</f>
        <v/>
      </c>
      <c r="C27" s="362" t="n"/>
      <c r="D27" s="446" t="inlineStr">
        <is>
          <t>B1_13</t>
        </is>
      </c>
      <c r="E27" s="309">
        <f> IF([0]!Blend13Parts =#REF!,"","C")</f>
        <v/>
      </c>
      <c r="F27" s="848" t="n"/>
      <c r="G27" s="315" t="n"/>
      <c r="H27" s="309">
        <f> IF([0]!Blend13RMname =#REF!,"","C")</f>
        <v/>
      </c>
      <c r="I27" s="432" t="n"/>
      <c r="J27" s="365" t="n"/>
      <c r="K27" s="439" t="n"/>
      <c r="L27" s="365" t="n"/>
      <c r="P27" s="528" t="n"/>
    </row>
    <row r="28" ht="14" customHeight="1">
      <c r="A28" s="15" t="inlineStr">
        <is>
          <t>LOT#</t>
        </is>
      </c>
      <c r="B28" s="310">
        <f> IF([0]!LotOrCampaignNumber =#REF!,"","C")</f>
        <v/>
      </c>
      <c r="C28" s="423" t="n"/>
      <c r="D28" s="446" t="inlineStr">
        <is>
          <t>B1_14</t>
        </is>
      </c>
      <c r="E28" s="309">
        <f> IF([0]!Blend14Parts =#REF!,"","C")</f>
        <v/>
      </c>
      <c r="F28" s="848" t="n"/>
      <c r="G28" s="315" t="n"/>
      <c r="H28" s="309">
        <f> IF([0]!Blend14RMname =#REF!,"","C")</f>
        <v/>
      </c>
      <c r="I28" s="432" t="n"/>
      <c r="J28" s="365" t="n"/>
      <c r="K28" s="439" t="n"/>
      <c r="P28" s="528" t="n"/>
    </row>
    <row r="29" ht="14" customHeight="1">
      <c r="A29" s="15" t="inlineStr">
        <is>
          <t xml:space="preserve">   Product Type</t>
        </is>
      </c>
      <c r="B29" s="309">
        <f> IF([0]!GradeColor =#REF!,"","C")</f>
        <v/>
      </c>
      <c r="C29" s="20" t="n"/>
      <c r="D29" s="446" t="inlineStr">
        <is>
          <t>B1_15</t>
        </is>
      </c>
      <c r="E29" s="309">
        <f> IF([0]!Blend15Parts =#REF!,"","C")</f>
        <v/>
      </c>
      <c r="F29" s="848" t="n"/>
      <c r="G29" s="315" t="n"/>
      <c r="H29" s="309">
        <f> IF([0]!Blend15RMname =#REF!,"","C")</f>
        <v/>
      </c>
      <c r="I29" s="432" t="n"/>
      <c r="J29" s="365" t="n"/>
      <c r="K29" s="474" t="n"/>
      <c r="L29" s="441" t="n"/>
      <c r="M29" s="441" t="n"/>
      <c r="N29" s="441" t="n"/>
      <c r="O29" s="441" t="n"/>
      <c r="P29" s="442" t="n"/>
    </row>
    <row r="30" ht="14" customHeight="1">
      <c r="A30" s="15" t="inlineStr">
        <is>
          <t>Scheduled Amount</t>
        </is>
      </c>
      <c r="B30" s="309">
        <f> IF([0]!ScheduledAmount =#REF!,"","C")</f>
        <v/>
      </c>
      <c r="C30" s="315" t="n"/>
      <c r="D30" s="446" t="inlineStr">
        <is>
          <t>B1_16</t>
        </is>
      </c>
      <c r="E30" s="309">
        <f> IF([0]!Blend16Parts =#REF!,"","C")</f>
        <v/>
      </c>
      <c r="F30" s="848" t="n"/>
      <c r="G30" s="315" t="n"/>
      <c r="H30" s="309">
        <f> IF([0]!Blend16RMname =#REF!,"","C")</f>
        <v/>
      </c>
      <c r="I30" s="432" t="n"/>
      <c r="J30" s="365" t="n"/>
    </row>
    <row r="31" ht="14" customHeight="1">
      <c r="A31" s="15" t="inlineStr">
        <is>
          <t>Preblend Max Weight</t>
        </is>
      </c>
      <c r="B31" s="309">
        <f> IF([0]!PreblendMaxWeight =#REF!,"","C")</f>
        <v/>
      </c>
      <c r="C31" s="315" t="n"/>
      <c r="D31" s="13" t="n"/>
      <c r="E31" s="13" t="n"/>
      <c r="F31" s="849" t="inlineStr">
        <is>
          <t xml:space="preserve"> </t>
        </is>
      </c>
      <c r="G31" t="inlineStr">
        <is>
          <t xml:space="preserve"> </t>
        </is>
      </c>
      <c r="H31" s="2" t="inlineStr">
        <is>
          <t xml:space="preserve"> </t>
        </is>
      </c>
      <c r="I31" s="432" t="n"/>
      <c r="J31" s="365" t="n"/>
    </row>
    <row r="32" ht="14" customHeight="1">
      <c r="A32" s="15" t="inlineStr">
        <is>
          <t>Staged Rework</t>
        </is>
      </c>
      <c r="B32" s="309" t="n"/>
      <c r="C32" s="313" t="n"/>
      <c r="D32" s="1" t="n"/>
      <c r="E32" s="1" t="n"/>
      <c r="F32" s="850">
        <f>SUM(F5:F13)</f>
        <v/>
      </c>
      <c r="G32" s="308">
        <f>IF(ROUND(CalcSumParts,4)=ROUND(EnteredSumParts,4),"(They Match)","(Mismatch!)")</f>
        <v/>
      </c>
      <c r="I32" s="432" t="n"/>
      <c r="J32" s="365" t="n"/>
    </row>
    <row r="33" ht="13" customHeight="1">
      <c r="A33" s="15" t="inlineStr">
        <is>
          <t>Staged Preblend</t>
        </is>
      </c>
      <c r="B33" s="309" t="n"/>
      <c r="C33" s="313" t="n"/>
      <c r="J33" s="2" t="n"/>
      <c r="T33" s="2" t="n"/>
    </row>
    <row r="34" ht="13" customHeight="1">
      <c r="F34" s="15" t="inlineStr">
        <is>
          <t>Sched Amount plus Tolerance minus Rework</t>
        </is>
      </c>
      <c r="G34" s="22">
        <f>((ScheduledAmount*ProductionTolerancePcnt)+ScheduledAmount-StagedRework)</f>
        <v/>
      </c>
      <c r="J34" s="2" t="n"/>
      <c r="K34" s="39" t="inlineStr">
        <is>
          <t>∆</t>
        </is>
      </c>
      <c r="L34" s="6" t="inlineStr">
        <is>
          <t>Lot Number</t>
        </is>
      </c>
      <c r="M34" s="515" t="inlineStr">
        <is>
          <t>Quantity (Lbs.)</t>
        </is>
      </c>
      <c r="N34" s="6" t="inlineStr">
        <is>
          <t>Bulk?</t>
        </is>
      </c>
      <c r="O34" s="6" t="inlineStr">
        <is>
          <t>R/C Number</t>
        </is>
      </c>
      <c r="P34" s="1" t="inlineStr">
        <is>
          <t>Grade Code</t>
        </is>
      </c>
      <c r="Q34" s="1" t="inlineStr">
        <is>
          <t>Deviation #</t>
        </is>
      </c>
      <c r="U34" s="2" t="n"/>
    </row>
    <row r="35" ht="13" customHeight="1">
      <c r="A35" s="15" t="inlineStr">
        <is>
          <t>Railcar # for Single Lot</t>
        </is>
      </c>
      <c r="B35" s="35" t="n"/>
      <c r="C35" s="314" t="n"/>
      <c r="F35" s="15" t="inlineStr">
        <is>
          <t>Preblend needed NOT counting staged Preblend</t>
        </is>
      </c>
      <c r="G35" s="851">
        <f>(AmountAdjForRWnTolerance*(Feeder8Parts*(100/CalcSumParts))/100)</f>
        <v/>
      </c>
      <c r="I35" s="2" t="n"/>
      <c r="J35" s="2" t="n"/>
      <c r="K35" s="312">
        <f>IF(AND(SubLotn01=#REF!,SubSize01=#REF!,SubRCar01=#REF!,SubGCode01=#REF!,SubDEVN01=#REF!),"","C")</f>
        <v/>
      </c>
      <c r="L35" s="321" t="n"/>
      <c r="M35" s="512" t="n"/>
      <c r="N35" s="323" t="n"/>
      <c r="O35" s="322" t="n"/>
      <c r="P35" s="511" t="n"/>
      <c r="Q35" s="512" t="n"/>
      <c r="U35" s="2" t="n"/>
    </row>
    <row r="36" ht="13" customHeight="1">
      <c r="F36" s="15" t="inlineStr">
        <is>
          <t>Preblend needed, COUNTING staged Preblend</t>
        </is>
      </c>
      <c r="G36" s="851">
        <f>(PreblendAmtAdjusted-StagedPreblend)</f>
        <v/>
      </c>
      <c r="I36" s="2" t="n"/>
      <c r="J36" s="2" t="n"/>
      <c r="K36" s="312">
        <f>IF(AND(SubLotn02=#REF!,SubSize02=#REF!,SubRCar02=#REF!,SubGCode02=#REF!,SubDEVN02=#REF!),"","C")</f>
        <v/>
      </c>
      <c r="L36" s="321" t="n"/>
      <c r="M36" s="512" t="n"/>
      <c r="N36" s="323" t="n"/>
      <c r="O36" s="322" t="n"/>
      <c r="P36" s="511" t="n"/>
      <c r="Q36" s="512" t="n"/>
      <c r="T36" s="17" t="n"/>
      <c r="U36" s="2" t="n"/>
    </row>
    <row r="37" ht="13" customHeight="1">
      <c r="F37" s="15" t="inlineStr">
        <is>
          <t>B1 Bowl Weight</t>
        </is>
      </c>
      <c r="G37" s="24">
        <f>PBminusPreBlendStaged/ROUNDUP((PBminusPreBlendStaged/PreblendMaxWeight),0)</f>
        <v/>
      </c>
      <c r="K37" s="312">
        <f>IF(AND(SubLotn03=#REF!,SubSize03=#REF!,SubRCar03=#REF!,SubGCode03=#REF!,SubDEVN03=#REF!),"","C")</f>
        <v/>
      </c>
      <c r="L37" s="321" t="n"/>
      <c r="M37" s="512" t="n"/>
      <c r="N37" s="323" t="n"/>
      <c r="O37" s="322" t="n"/>
      <c r="P37" s="511" t="n"/>
      <c r="Q37" s="512" t="n"/>
      <c r="T37" s="2" t="n"/>
    </row>
    <row r="38" ht="13" customHeight="1">
      <c r="F38" s="15" t="inlineStr">
        <is>
          <t>Exact number of B1 blends needed</t>
        </is>
      </c>
      <c r="G38" s="852">
        <f>PreblendAmtAdjusted/PreblendMaxWeight</f>
        <v/>
      </c>
      <c r="I38" s="2" t="n"/>
      <c r="J38" s="2" t="n"/>
      <c r="K38" s="312">
        <f>IF(AND(SubLotn04=#REF!,SubSize04=#REF!,SubRCar04=#REF!,SubGCode04=#REF!,SubDEVN04=#REF!),"","C")</f>
        <v/>
      </c>
      <c r="L38" s="321" t="n"/>
      <c r="M38" s="512" t="n"/>
      <c r="N38" s="324" t="n"/>
      <c r="O38" s="322" t="n"/>
      <c r="P38" s="511" t="n"/>
      <c r="Q38" s="512" t="n"/>
      <c r="T38" s="2" t="n"/>
    </row>
    <row r="39" ht="13" customHeight="1">
      <c r="F39" s="15" t="inlineStr">
        <is>
          <t>Blends to be made. Last likely Partial.</t>
        </is>
      </c>
      <c r="G39" s="25">
        <f>ROUNDUP(PBminusPreBlendStaged/PreblendMaxWeight,0)</f>
        <v/>
      </c>
      <c r="I39" s="2" t="n"/>
      <c r="J39" s="2" t="n"/>
      <c r="K39" s="312">
        <f>IF(AND(SubLotn05=#REF!,SubSize05=#REF!,SubRCar05=#REF!,SubGCode05=#REF!,SubDEVN05=#REF!),"","C")</f>
        <v/>
      </c>
      <c r="L39" s="321" t="n"/>
      <c r="M39" s="512" t="n"/>
      <c r="N39" s="323" t="n"/>
      <c r="O39" s="322" t="n"/>
      <c r="P39" s="511" t="n"/>
      <c r="Q39" s="512" t="n"/>
      <c r="S39" s="2" t="n"/>
      <c r="T39" s="2" t="n"/>
      <c r="U39" s="2" t="n"/>
    </row>
    <row r="40" ht="13" customHeight="1">
      <c r="F40" s="15" t="inlineStr">
        <is>
          <t>Duration for 1 Blend</t>
        </is>
      </c>
      <c r="G40" s="38">
        <f>ROUND(BowlWeight/(((Feeder8Parts*(100/CalcSumParts))/100)*LineRateLbsPerHour),2) &amp; " hour blends"</f>
        <v/>
      </c>
      <c r="I40" s="2" t="n"/>
      <c r="J40" s="2" t="n"/>
      <c r="K40" s="312">
        <f>IF(AND(SubLotn06=#REF!,SubSize06=#REF!,SubRCar06=#REF!,SubGCode06=#REF!,SubDEVN06=#REF!),"","C")</f>
        <v/>
      </c>
      <c r="L40" s="321" t="n"/>
      <c r="M40" s="512" t="n"/>
      <c r="N40" s="325" t="n"/>
      <c r="O40" s="322" t="n"/>
      <c r="P40" s="511" t="n"/>
      <c r="Q40" s="512" t="n"/>
    </row>
    <row r="41" ht="13" customHeight="1">
      <c r="B41" s="303" t="inlineStr">
        <is>
          <t>AFTER ASSIGNMENTS FOR RAW MATERIAL ARE COMPLETE PRESS BUTTON BELOW</t>
        </is>
      </c>
      <c r="I41" s="2" t="n"/>
      <c r="J41" s="2" t="n"/>
      <c r="K41" s="312">
        <f>IF(AND(SubLotn07=#REF!,SubSize07=#REF!,SubRCar07=#REF!,SubGCode07=#REF!,SubDEVN07=#REF!),"","C")</f>
        <v/>
      </c>
      <c r="L41" s="326" t="n"/>
      <c r="M41" s="514" t="n"/>
      <c r="N41" s="323" t="n"/>
      <c r="O41" s="327" t="n"/>
      <c r="P41" s="513" t="n"/>
      <c r="Q41" s="514" t="n"/>
    </row>
    <row r="42" ht="15.5" customHeight="1">
      <c r="B42" s="304" t="inlineStr">
        <is>
          <t>*****COMPLETE LISTED CHECKS ON JOBPACKET VERIFICATION PACKAGE.</t>
        </is>
      </c>
      <c r="K42" s="312">
        <f>IF(AND(SubLotn08=#REF!,SubSize08=#REF!,SubRCar08=#REF!,SubGCode08=#REF!,SubDEVN08=#REF!),"","C")</f>
        <v/>
      </c>
      <c r="L42" s="326" t="n"/>
      <c r="M42" s="514" t="n"/>
      <c r="N42" s="323" t="n"/>
      <c r="O42" s="327" t="n"/>
      <c r="P42" s="513" t="n"/>
      <c r="Q42" s="514" t="n"/>
    </row>
    <row r="43">
      <c r="K43" s="312">
        <f>IF(AND(SubLotn09=#REF!,SubSize09=#REF!,SubRCar09=#REF!,SubGCode09=#REF!,SubDEVN09=#REF!),"","C")</f>
        <v/>
      </c>
      <c r="L43" s="321" t="n"/>
      <c r="M43" s="512" t="n"/>
      <c r="N43" s="323" t="n"/>
      <c r="O43" s="322" t="n"/>
      <c r="P43" s="511" t="n"/>
      <c r="Q43" s="512" t="n"/>
    </row>
    <row r="44" ht="15.5" customHeight="1">
      <c r="D44" s="476" t="inlineStr">
        <is>
          <t>Special Notes:</t>
        </is>
      </c>
      <c r="E44" s="477" t="n"/>
      <c r="F44" s="477" t="n"/>
      <c r="G44" s="477" t="n"/>
      <c r="H44" s="478" t="n"/>
      <c r="K44" s="312">
        <f>IF(AND(SubLotn10=#REF!,SubSize10=#REF!,SubRCar10=#REF!,SubGCode10=#REF!,SubDEVN10=#REF!),"","C")</f>
        <v/>
      </c>
      <c r="L44" s="321" t="n"/>
      <c r="M44" s="512" t="n"/>
      <c r="N44" s="324" t="n"/>
      <c r="O44" s="322" t="n"/>
      <c r="P44" s="511" t="n"/>
      <c r="Q44" s="512" t="n"/>
    </row>
    <row r="45" ht="12.75" customHeight="1">
      <c r="D45" s="853" t="n"/>
      <c r="H45" s="528" t="n"/>
      <c r="K45" s="312">
        <f>IF(AND(SubLotn11=#REF!,SubSize11=#REF!,SubRCar11=#REF!,SubGCode11=#REF!,SubDEVN11=#REF!),"","C")</f>
        <v/>
      </c>
      <c r="L45" s="321" t="n"/>
      <c r="M45" s="512" t="n"/>
      <c r="N45" s="323" t="n"/>
      <c r="O45" s="322" t="n"/>
      <c r="P45" s="511" t="n"/>
      <c r="Q45" s="512" t="n"/>
    </row>
    <row r="46" ht="12.75" customHeight="1">
      <c r="D46" s="854" t="n"/>
      <c r="H46" s="528" t="n"/>
      <c r="K46" s="312">
        <f>IF(AND(SubLotn12=#REF!,SubSize12=#REF!,SubRCar12=#REF!,SubGCode12=#REF!,SubDEVN12=#REF!),"","C")</f>
        <v/>
      </c>
      <c r="L46" s="321" t="n"/>
      <c r="M46" s="512" t="n"/>
      <c r="N46" s="325" t="n"/>
      <c r="O46" s="322" t="n"/>
      <c r="P46" s="511" t="n"/>
      <c r="Q46" s="512" t="n"/>
    </row>
    <row r="47" ht="12.75" customHeight="1">
      <c r="D47" s="854" t="n"/>
      <c r="H47" s="528" t="n"/>
      <c r="K47" s="312">
        <f>IF(AND(SubLotn13=#REF!,SubSize13=#REF!,SubRCar13=#REF!,SubGCode13=#REF!,SubDEVN13=#REF!),"","C")</f>
        <v/>
      </c>
      <c r="L47" s="321" t="n"/>
      <c r="M47" s="512" t="n"/>
      <c r="N47" s="323" t="n"/>
      <c r="O47" s="322" t="n"/>
      <c r="P47" s="511" t="n"/>
      <c r="Q47" s="512" t="n"/>
    </row>
    <row r="48" ht="12.75" customHeight="1">
      <c r="D48" s="854" t="n"/>
      <c r="H48" s="528" t="n"/>
      <c r="K48" s="312">
        <f>IF(AND(SubLotn14=#REF!,SubSize14=#REF!,SubRCar14=#REF!,SubGCode14=#REF!,SubDEVN14=#REF!),"","C")</f>
        <v/>
      </c>
      <c r="L48" s="321" t="n"/>
      <c r="M48" s="512" t="n"/>
      <c r="N48" s="323" t="n"/>
      <c r="O48" s="322" t="n"/>
      <c r="P48" s="511" t="n"/>
      <c r="Q48" s="512" t="n"/>
    </row>
    <row r="49" ht="12.75" customHeight="1">
      <c r="D49" s="854" t="n"/>
      <c r="H49" s="528" t="n"/>
      <c r="K49" s="312">
        <f>IF(AND(SubLotn15=#REF!,SubSize15=#REF!,SubRCar15=#REF!,SubGCode15=#REF!,SubDEVN15=#REF!),"","C")</f>
        <v/>
      </c>
      <c r="L49" s="326" t="n"/>
      <c r="M49" s="514" t="n"/>
      <c r="N49" s="324" t="n"/>
      <c r="O49" s="327" t="n"/>
      <c r="P49" s="513" t="n"/>
      <c r="Q49" s="514" t="n"/>
    </row>
    <row r="50" ht="12.75" customHeight="1">
      <c r="D50" s="854" t="n"/>
      <c r="H50" s="528" t="n"/>
    </row>
    <row r="51" ht="12.75" customHeight="1">
      <c r="D51" s="854" t="n"/>
      <c r="H51" s="528" t="n"/>
    </row>
    <row r="52" ht="12.75" customHeight="1">
      <c r="D52" s="854" t="n"/>
      <c r="H52" s="528" t="n"/>
    </row>
    <row r="53" ht="12.75" customHeight="1">
      <c r="D53" s="854" t="n"/>
      <c r="H53" s="528" t="n"/>
    </row>
    <row r="54" ht="12.75" customHeight="1">
      <c r="D54" s="474" t="n"/>
      <c r="E54" s="441" t="n"/>
      <c r="F54" s="441" t="n"/>
      <c r="G54" s="441" t="n"/>
      <c r="H54" s="442" t="n"/>
    </row>
    <row r="55" ht="12.75" customHeight="1">
      <c r="D55" s="488" t="n"/>
      <c r="E55" s="488" t="n"/>
      <c r="F55" s="488" t="n"/>
      <c r="G55" s="488" t="n"/>
      <c r="H55" s="488" t="n"/>
    </row>
    <row r="56" ht="12.75" customHeight="1">
      <c r="D56" s="488" t="n"/>
      <c r="E56" s="488" t="n"/>
      <c r="F56" s="488" t="n"/>
      <c r="G56" s="488" t="n"/>
      <c r="H56" s="488" t="n"/>
    </row>
    <row r="66">
      <c r="K66" s="2" t="n"/>
      <c r="L66" s="2" t="n"/>
      <c r="M66" s="2" t="n"/>
      <c r="N66" s="2" t="n"/>
      <c r="O66" s="2" t="n"/>
      <c r="P66" s="2" t="n"/>
    </row>
    <row r="67">
      <c r="K67" s="2" t="n"/>
      <c r="L67" s="2" t="n"/>
      <c r="M67" s="2" t="n"/>
      <c r="N67" s="2" t="n"/>
      <c r="O67" s="2" t="n"/>
      <c r="P67" s="2" t="n"/>
    </row>
    <row r="68">
      <c r="K68" s="2" t="n"/>
      <c r="L68" s="2" t="n"/>
      <c r="M68" s="2" t="n"/>
      <c r="N68" s="2" t="n"/>
      <c r="O68" s="2" t="n"/>
      <c r="P68" s="2" t="n"/>
    </row>
    <row r="69">
      <c r="F69" s="2" t="n"/>
      <c r="K69" s="2" t="n"/>
      <c r="L69" s="2" t="n"/>
      <c r="M69" s="2" t="n"/>
      <c r="N69" s="2" t="n"/>
      <c r="O69" s="2" t="n"/>
      <c r="P69" s="2" t="n"/>
    </row>
    <row r="70">
      <c r="K70" s="2" t="n"/>
      <c r="L70" s="2" t="n"/>
      <c r="M70" s="2" t="n"/>
      <c r="N70" s="2" t="n"/>
      <c r="O70" s="2" t="n"/>
      <c r="P70" s="2" t="n"/>
    </row>
    <row r="71">
      <c r="C71" s="333" t="n"/>
      <c r="D71" s="333" t="n"/>
      <c r="E71" s="333" t="n"/>
      <c r="F71" s="333" t="n"/>
      <c r="G71" s="333" t="n"/>
      <c r="H71" s="333" t="n"/>
      <c r="I71" s="333" t="n"/>
      <c r="J71" s="333" t="n"/>
      <c r="K71" s="333" t="n"/>
      <c r="L71" s="333" t="n"/>
      <c r="M71" s="333" t="n"/>
      <c r="N71" s="333" t="n"/>
      <c r="O71" s="333" t="n"/>
      <c r="P71" s="333" t="n"/>
      <c r="Q71" s="333" t="n"/>
      <c r="R71" s="333" t="n"/>
      <c r="S71" s="333" t="n"/>
      <c r="T71" s="333" t="n"/>
      <c r="U71" s="333" t="n"/>
      <c r="V71" s="333" t="n"/>
      <c r="W71" s="333" t="n"/>
      <c r="X71" s="333" t="n"/>
      <c r="Y71" s="333" t="n"/>
    </row>
    <row r="72" ht="14" customHeight="1">
      <c r="F72" s="333" t="n"/>
      <c r="G72" s="333" t="n"/>
      <c r="H72" s="365" t="n"/>
      <c r="I72" s="333" t="n"/>
      <c r="J72" s="333" t="n"/>
      <c r="K72" s="333" t="n"/>
      <c r="L72" s="333" t="n"/>
      <c r="M72" s="333" t="n"/>
      <c r="V72" s="333" t="n"/>
      <c r="W72" s="333" t="n"/>
      <c r="Y72" s="333" t="n"/>
    </row>
    <row r="73" ht="14" customHeight="1">
      <c r="F73" s="365" t="n"/>
      <c r="G73" s="365" t="n"/>
      <c r="H73" s="365" t="n"/>
      <c r="I73" s="365" t="n"/>
      <c r="J73" s="365" t="n"/>
      <c r="K73" s="365" t="n"/>
      <c r="L73" s="365" t="n"/>
      <c r="M73" s="365" t="n"/>
      <c r="V73" s="365" t="n"/>
      <c r="W73" s="365" t="n"/>
      <c r="Y73" s="363" t="n"/>
    </row>
    <row r="74" ht="14" customHeight="1">
      <c r="F74" s="365" t="n"/>
      <c r="G74" s="365" t="n"/>
      <c r="H74" s="365" t="n"/>
      <c r="I74" s="365" t="n"/>
      <c r="J74" s="365" t="n"/>
      <c r="K74" s="365" t="n"/>
      <c r="L74" s="365" t="n"/>
      <c r="M74" s="365" t="n"/>
      <c r="V74" s="365" t="n"/>
      <c r="W74" s="365" t="n"/>
      <c r="Y74" s="365" t="n"/>
    </row>
    <row r="75" ht="14" customHeight="1">
      <c r="A75" s="2" t="n"/>
      <c r="B75" s="2" t="n"/>
      <c r="F75" s="378" t="n"/>
      <c r="G75" s="378" t="n"/>
      <c r="H75" s="378" t="n"/>
      <c r="I75" s="378" t="n"/>
      <c r="J75" s="378" t="n"/>
      <c r="K75" s="378" t="n"/>
      <c r="L75" s="378" t="n"/>
      <c r="M75" s="378" t="n"/>
      <c r="V75" s="365" t="n"/>
      <c r="W75" s="365" t="n"/>
      <c r="Y75" s="363" t="n"/>
    </row>
    <row r="76" ht="14" customHeight="1">
      <c r="B76" s="303" t="n"/>
      <c r="F76" s="378" t="n"/>
      <c r="G76" s="378" t="n"/>
      <c r="H76" s="378" t="n"/>
      <c r="I76" s="378" t="n"/>
      <c r="J76" s="378" t="n"/>
      <c r="K76" s="378" t="n"/>
      <c r="L76" s="378" t="n"/>
      <c r="M76" s="378" t="n"/>
      <c r="V76" s="365" t="n"/>
      <c r="W76" s="365" t="n"/>
      <c r="Y76" s="365" t="n"/>
    </row>
    <row r="77" ht="15.5" customHeight="1">
      <c r="B77" s="304" t="n"/>
      <c r="F77" s="365" t="n"/>
      <c r="G77" s="365" t="n"/>
      <c r="H77" s="365" t="n"/>
      <c r="I77" s="365" t="n"/>
      <c r="J77" s="365" t="n"/>
      <c r="K77" s="365" t="n"/>
      <c r="L77" s="365" t="n"/>
      <c r="M77" s="365" t="n"/>
      <c r="V77" s="365" t="n"/>
      <c r="W77" s="365" t="n"/>
      <c r="Y77" s="363" t="n"/>
    </row>
    <row r="78" ht="14" customHeight="1">
      <c r="A78" s="4" t="n"/>
      <c r="B78" s="4" t="n"/>
      <c r="F78" s="365" t="n"/>
      <c r="G78" s="365" t="n"/>
      <c r="H78" s="365" t="n"/>
      <c r="I78" s="365" t="n"/>
      <c r="J78" s="365" t="n"/>
      <c r="K78" s="365" t="n"/>
      <c r="L78" s="365" t="n"/>
      <c r="M78" s="365" t="n"/>
      <c r="V78" s="365" t="n"/>
      <c r="W78" s="365" t="n"/>
      <c r="Y78" s="365" t="n"/>
    </row>
    <row r="79" ht="14" customHeight="1">
      <c r="A79" s="4" t="n"/>
      <c r="B79" s="4" t="n"/>
      <c r="F79" s="365" t="n"/>
      <c r="G79" s="365" t="n"/>
      <c r="H79" s="365" t="n"/>
      <c r="I79" s="365" t="n"/>
      <c r="J79" s="365" t="n"/>
      <c r="K79" s="365" t="n"/>
      <c r="L79" s="365" t="n"/>
      <c r="M79" s="365" t="n"/>
      <c r="V79" s="365" t="n"/>
      <c r="W79" s="365" t="n"/>
      <c r="Y79" s="363" t="n"/>
    </row>
    <row r="80" ht="14" customHeight="1">
      <c r="A80" s="4" t="n"/>
      <c r="B80" s="4" t="n"/>
      <c r="F80" s="365" t="n"/>
      <c r="G80" s="365" t="n"/>
      <c r="H80" s="365" t="n"/>
      <c r="I80" s="365" t="n"/>
      <c r="J80" s="365" t="n"/>
      <c r="K80" s="365" t="n"/>
      <c r="L80" s="365" t="n"/>
      <c r="M80" s="365" t="n"/>
      <c r="V80" s="365" t="n"/>
      <c r="W80" s="365" t="n"/>
      <c r="Y80" s="365" t="n"/>
    </row>
    <row r="81" ht="14" customHeight="1">
      <c r="A81" s="4" t="n"/>
      <c r="B81" s="4" t="n"/>
      <c r="F81" s="365" t="n"/>
      <c r="G81" s="365" t="n"/>
      <c r="H81" s="365" t="n"/>
      <c r="I81" s="365" t="n"/>
      <c r="J81" s="365" t="n"/>
      <c r="K81" s="365" t="n"/>
      <c r="L81" s="365" t="n"/>
      <c r="M81" s="365" t="n"/>
      <c r="V81" s="365" t="n"/>
      <c r="W81" s="365" t="n"/>
      <c r="Y81" s="363" t="n"/>
    </row>
    <row r="82" ht="14" customHeight="1">
      <c r="A82" s="4" t="n"/>
      <c r="B82" s="4" t="n"/>
      <c r="F82" s="365" t="n"/>
      <c r="G82" s="365" t="n"/>
      <c r="H82" s="365" t="n"/>
      <c r="I82" s="365" t="n"/>
      <c r="J82" s="365" t="n"/>
      <c r="K82" s="365" t="n"/>
      <c r="L82" s="365" t="n"/>
      <c r="M82" s="365" t="n"/>
      <c r="N82" s="387" t="n"/>
      <c r="O82" s="363" t="n"/>
      <c r="P82" s="365" t="n"/>
      <c r="Q82" s="365" t="n"/>
      <c r="R82" s="365" t="n"/>
      <c r="S82" s="415" t="n"/>
      <c r="T82" s="365" t="n"/>
      <c r="V82" s="365" t="n"/>
      <c r="W82" s="365" t="n"/>
      <c r="Y82" s="365" t="n"/>
    </row>
    <row r="83" ht="14" customHeight="1">
      <c r="A83" s="4" t="n"/>
      <c r="B83" s="4" t="n"/>
      <c r="F83" s="365" t="n"/>
      <c r="G83" s="365" t="n"/>
      <c r="H83" s="365" t="n"/>
      <c r="I83" s="365" t="n"/>
      <c r="J83" s="365" t="n"/>
      <c r="K83" s="365" t="n"/>
      <c r="L83" s="365" t="n"/>
      <c r="M83" s="365" t="n"/>
      <c r="N83" s="435" t="n"/>
      <c r="O83" s="363" t="n"/>
      <c r="P83" s="365" t="n"/>
      <c r="Q83" s="365" t="n"/>
      <c r="R83" s="365" t="n"/>
      <c r="S83" s="415" t="n"/>
      <c r="T83" s="365" t="n"/>
      <c r="V83" s="365" t="n"/>
      <c r="W83" s="365" t="n"/>
      <c r="Y83" s="363" t="n"/>
    </row>
    <row r="84" ht="14" customHeight="1">
      <c r="A84" s="4" t="n"/>
      <c r="B84" s="4" t="n"/>
      <c r="F84" s="365" t="n"/>
      <c r="G84" s="365" t="n"/>
      <c r="H84" s="365" t="n"/>
      <c r="I84" s="365" t="n"/>
      <c r="J84" s="365" t="n"/>
      <c r="K84" s="365" t="n"/>
      <c r="L84" s="365" t="n"/>
      <c r="M84" s="365" t="n"/>
      <c r="N84" s="387" t="n"/>
      <c r="O84" s="363" t="n"/>
      <c r="P84" s="365" t="n"/>
      <c r="Q84" s="365" t="n"/>
      <c r="R84" s="365" t="n"/>
      <c r="S84" s="415" t="n"/>
      <c r="T84" s="365" t="n"/>
      <c r="V84" s="365" t="n"/>
      <c r="W84" s="365" t="n"/>
      <c r="Y84" s="365" t="n"/>
    </row>
    <row r="85" ht="14" customHeight="1">
      <c r="A85" s="4" t="n"/>
      <c r="B85" s="4" t="n"/>
      <c r="F85" s="365" t="n"/>
      <c r="G85" s="365" t="n"/>
      <c r="H85" s="365" t="n"/>
      <c r="I85" s="365" t="n"/>
      <c r="J85" s="365" t="n"/>
      <c r="K85" s="365" t="n"/>
      <c r="L85" s="365" t="n"/>
      <c r="M85" s="365" t="n"/>
      <c r="N85" s="387" t="n"/>
      <c r="O85" s="363" t="n"/>
      <c r="P85" s="365" t="n"/>
      <c r="Q85" s="365" t="n"/>
      <c r="R85" s="365" t="n"/>
      <c r="S85" s="415" t="n"/>
      <c r="T85" s="365" t="n"/>
      <c r="V85" s="365" t="n"/>
      <c r="W85" s="365" t="n"/>
      <c r="Y85" s="363" t="n"/>
    </row>
    <row r="86" ht="14" customHeight="1">
      <c r="A86" s="4" t="n"/>
      <c r="B86" s="4" t="n"/>
      <c r="F86" s="365" t="n"/>
      <c r="G86" s="365" t="n"/>
      <c r="H86" s="365" t="n"/>
      <c r="I86" s="365" t="n"/>
      <c r="J86" s="365" t="n"/>
      <c r="K86" s="365" t="n"/>
      <c r="L86" s="365" t="n"/>
      <c r="M86" s="365" t="n"/>
      <c r="N86" s="387" t="n"/>
      <c r="O86" s="363" t="n"/>
      <c r="P86" s="365" t="n"/>
      <c r="Q86" s="365" t="n"/>
      <c r="R86" s="365" t="n"/>
      <c r="S86" s="415" t="n"/>
      <c r="T86" s="365" t="n"/>
      <c r="V86" s="365" t="n"/>
      <c r="W86" s="365" t="n"/>
      <c r="Y86" s="365" t="n"/>
    </row>
    <row r="87" ht="14" customHeight="1">
      <c r="A87" s="305" t="n"/>
      <c r="B87" s="305" t="n"/>
      <c r="F87" s="365" t="n"/>
      <c r="G87" s="365" t="n"/>
      <c r="H87" s="365" t="n"/>
      <c r="I87" s="365" t="n"/>
      <c r="J87" s="365" t="n"/>
      <c r="K87" s="365" t="n"/>
      <c r="L87" s="365" t="n"/>
      <c r="M87" s="365" t="n"/>
      <c r="N87" s="387" t="n"/>
      <c r="O87" s="363" t="n"/>
      <c r="P87" s="365" t="n"/>
      <c r="Q87" s="365" t="n"/>
      <c r="R87" s="365" t="n"/>
      <c r="S87" s="415" t="n"/>
      <c r="T87" s="365" t="n"/>
      <c r="V87" s="365" t="n"/>
      <c r="W87" s="365" t="n"/>
      <c r="Y87" s="363" t="n"/>
    </row>
    <row r="88" ht="14" customHeight="1">
      <c r="C88" s="365" t="n"/>
      <c r="E88" s="365" t="n"/>
      <c r="F88" s="365" t="n"/>
      <c r="G88" s="365" t="n"/>
      <c r="H88" s="365" t="n"/>
      <c r="I88" s="365" t="n"/>
      <c r="J88" s="365" t="n"/>
      <c r="K88" s="365" t="n"/>
      <c r="L88" s="365" t="n"/>
      <c r="M88" s="365" t="n"/>
      <c r="N88" s="387" t="n"/>
      <c r="O88" s="363" t="n"/>
      <c r="P88" s="365" t="n"/>
      <c r="Q88" s="365" t="n"/>
      <c r="R88" s="365" t="n"/>
      <c r="S88" s="415" t="n"/>
      <c r="T88" s="365" t="n"/>
      <c r="V88" s="365" t="n"/>
      <c r="W88" s="365" t="n"/>
      <c r="Y88" s="365" t="n"/>
    </row>
    <row r="89" ht="14" customHeight="1">
      <c r="J89" s="365" t="n"/>
      <c r="K89" s="365" t="n"/>
      <c r="L89" s="365" t="n"/>
      <c r="M89" s="365" t="n"/>
      <c r="N89" s="387" t="n"/>
      <c r="O89" s="363" t="n"/>
      <c r="P89" s="365" t="n"/>
      <c r="Q89" s="365" t="n"/>
      <c r="R89" s="365" t="n"/>
      <c r="S89" s="415" t="n"/>
      <c r="T89" s="365" t="n"/>
      <c r="V89" s="365" t="n"/>
      <c r="W89" s="365" t="n"/>
      <c r="Y89" s="363" t="n"/>
    </row>
    <row r="90" ht="14" customHeight="1">
      <c r="J90" s="365" t="n"/>
      <c r="K90" s="365" t="n"/>
      <c r="L90" s="365" t="n"/>
      <c r="M90" s="365" t="n"/>
      <c r="N90" s="365" t="n"/>
      <c r="O90" s="365" t="n"/>
      <c r="P90" s="365" t="n"/>
      <c r="Q90" s="365" t="n"/>
      <c r="R90" s="365" t="n"/>
      <c r="S90" s="365" t="n"/>
      <c r="T90" s="365" t="n"/>
      <c r="U90" s="365" t="n"/>
      <c r="V90" s="365" t="n"/>
      <c r="W90" s="365" t="n"/>
      <c r="X90" s="365" t="n"/>
      <c r="Y90" s="365" t="n"/>
    </row>
    <row r="91" ht="14" customHeight="1">
      <c r="J91" s="365" t="n"/>
      <c r="K91" s="365" t="n"/>
      <c r="L91" s="365" t="n"/>
      <c r="M91" s="365" t="n"/>
      <c r="N91" s="365" t="n"/>
      <c r="O91" s="365" t="n"/>
      <c r="P91" s="365" t="n"/>
      <c r="Q91" s="365" t="n"/>
      <c r="R91" s="365" t="n"/>
      <c r="S91" s="365" t="n"/>
      <c r="T91" s="365" t="n"/>
      <c r="U91" s="365" t="n"/>
      <c r="V91" s="365" t="n"/>
      <c r="W91" s="365" t="n"/>
      <c r="X91" s="365" t="n"/>
      <c r="Y91" s="365" t="n"/>
      <c r="Z91" s="365" t="n"/>
      <c r="AA91" s="365" t="n"/>
      <c r="AB91" s="365" t="n"/>
      <c r="AC91" s="365" t="n"/>
      <c r="AD91" s="365" t="n"/>
      <c r="AE91" s="365" t="n"/>
      <c r="AF91" s="386" t="n"/>
      <c r="AG91" s="365" t="n"/>
      <c r="AH91" s="365" t="n"/>
      <c r="AI91" s="365" t="n"/>
      <c r="AJ91" s="365" t="n"/>
    </row>
    <row r="92" ht="14" customHeight="1">
      <c r="J92" s="365" t="n"/>
      <c r="K92" s="365" t="n"/>
      <c r="L92" s="365" t="n"/>
      <c r="M92" s="365" t="n"/>
      <c r="N92" s="365" t="n"/>
      <c r="O92" s="365" t="n"/>
      <c r="P92" s="365" t="n"/>
      <c r="Q92" s="365" t="n"/>
      <c r="R92" s="365" t="n"/>
      <c r="S92" s="365" t="n"/>
      <c r="T92" s="365" t="n"/>
      <c r="U92" s="365" t="n"/>
      <c r="V92" s="365" t="n"/>
      <c r="W92" s="365" t="n"/>
      <c r="X92" s="365" t="n"/>
      <c r="Y92" s="365" t="n"/>
      <c r="Z92" s="365" t="n"/>
      <c r="AA92" s="365" t="n"/>
      <c r="AB92" s="365" t="n"/>
      <c r="AD92" s="365" t="n"/>
      <c r="AE92" s="365" t="n"/>
      <c r="AF92" s="365" t="n"/>
      <c r="AG92" s="365" t="n"/>
      <c r="AH92" s="365" t="n"/>
      <c r="AI92" s="365" t="n"/>
      <c r="AJ92" s="365" t="n"/>
    </row>
    <row r="93" ht="14" customHeight="1">
      <c r="J93" s="365" t="n"/>
      <c r="K93" s="365" t="n"/>
      <c r="L93" s="365" t="n"/>
      <c r="M93" s="365" t="n"/>
      <c r="N93" s="365" t="n"/>
      <c r="O93" s="365" t="n"/>
      <c r="P93" s="365" t="n"/>
      <c r="Q93" s="365" t="n"/>
      <c r="R93" s="365" t="n"/>
      <c r="S93" s="365" t="n"/>
      <c r="T93" s="365" t="n"/>
      <c r="U93" s="365" t="n"/>
      <c r="V93" s="365" t="n"/>
      <c r="W93" s="365" t="n"/>
      <c r="X93" s="365" t="n"/>
      <c r="Y93" s="365" t="n"/>
      <c r="Z93" s="365" t="n"/>
      <c r="AA93" s="365" t="n"/>
      <c r="AB93" s="365" t="n"/>
      <c r="AC93" s="365" t="n"/>
      <c r="AD93" s="365" t="n"/>
      <c r="AE93" s="365" t="n"/>
      <c r="AF93" s="365" t="n"/>
      <c r="AG93" s="365" t="n"/>
      <c r="AH93" s="365" t="n"/>
      <c r="AI93" s="365" t="n"/>
      <c r="AJ93" s="365" t="n"/>
    </row>
    <row r="94" ht="14" customHeight="1">
      <c r="J94" s="365" t="n"/>
      <c r="M94" s="365" t="n"/>
      <c r="N94" s="365" t="n"/>
      <c r="O94" s="365" t="n"/>
      <c r="P94" s="365" t="n"/>
      <c r="Q94" s="365" t="n"/>
      <c r="R94" s="365" t="n"/>
      <c r="S94" s="365" t="n"/>
      <c r="T94" s="365" t="n"/>
      <c r="U94" s="365" t="n"/>
      <c r="V94" s="365" t="n"/>
      <c r="W94" s="365" t="n"/>
      <c r="X94" s="365" t="n"/>
      <c r="Y94" s="365" t="n"/>
      <c r="Z94" s="365" t="n"/>
      <c r="AA94" s="365" t="n"/>
      <c r="AB94" s="365" t="n"/>
      <c r="AC94" s="365" t="n"/>
      <c r="AD94" s="365" t="n"/>
      <c r="AE94" s="365" t="n"/>
      <c r="AF94" s="365" t="n"/>
      <c r="AG94" s="365" t="n"/>
      <c r="AH94" s="365" t="n"/>
      <c r="AI94" s="365" t="n"/>
      <c r="AJ94" s="365" t="n"/>
    </row>
    <row r="95" ht="14" customHeight="1">
      <c r="J95" s="365" t="n"/>
      <c r="M95" s="365" t="n"/>
      <c r="N95" s="365" t="n"/>
      <c r="O95" s="365" t="n"/>
      <c r="P95" s="365" t="n"/>
      <c r="Q95" s="365" t="n"/>
      <c r="R95" s="365" t="n"/>
      <c r="S95" s="365" t="n"/>
      <c r="T95" s="365" t="n"/>
      <c r="U95" s="365" t="n"/>
      <c r="X95" s="365" t="n"/>
      <c r="Y95" s="365" t="n"/>
      <c r="Z95" s="365" t="n"/>
      <c r="AA95" s="365" t="n"/>
      <c r="AB95" s="365" t="n"/>
      <c r="AC95" s="365" t="n"/>
      <c r="AD95" s="365" t="n"/>
      <c r="AE95" s="365" t="n"/>
      <c r="AF95" s="365" t="n"/>
      <c r="AG95" s="365" t="n"/>
      <c r="AH95" s="365" t="n"/>
      <c r="AI95" s="365" t="n"/>
      <c r="AJ95" s="365" t="n"/>
    </row>
    <row r="96" ht="14" customHeight="1">
      <c r="J96" s="365" t="n"/>
      <c r="M96" s="365" t="n"/>
      <c r="O96" s="365" t="n"/>
      <c r="P96" s="365" t="n"/>
      <c r="Q96" s="365" t="n"/>
      <c r="R96" s="365" t="n"/>
      <c r="S96" s="365" t="n"/>
      <c r="T96" s="365" t="n"/>
      <c r="U96" s="365" t="n"/>
      <c r="X96" s="365" t="n"/>
      <c r="Y96" s="365" t="n"/>
      <c r="Z96" s="365" t="n"/>
      <c r="AA96" s="365" t="n"/>
      <c r="AB96" s="365" t="n"/>
      <c r="AC96" s="365" t="n"/>
      <c r="AD96" s="365" t="n"/>
      <c r="AE96" s="365" t="n"/>
      <c r="AF96" s="365" t="n"/>
      <c r="AG96" s="365" t="n"/>
      <c r="AH96" s="365" t="n"/>
      <c r="AI96" s="365" t="n"/>
      <c r="AJ96" s="365" t="n"/>
    </row>
    <row r="97" ht="14" customHeight="1">
      <c r="J97" s="365" t="n"/>
      <c r="M97" s="365" t="n"/>
      <c r="O97" s="365" t="n"/>
      <c r="P97" s="365" t="n"/>
      <c r="Q97" s="365" t="n"/>
      <c r="R97" s="365" t="n"/>
      <c r="S97" s="365" t="n"/>
      <c r="T97" s="365" t="n"/>
      <c r="U97" s="365" t="n"/>
      <c r="X97" s="365" t="n"/>
      <c r="Y97" s="365" t="n"/>
      <c r="Z97" s="365" t="n"/>
      <c r="AA97" s="365" t="n"/>
      <c r="AB97" s="365" t="n"/>
      <c r="AC97" s="365" t="n"/>
      <c r="AD97" s="365" t="n"/>
      <c r="AE97" s="365" t="n"/>
      <c r="AF97" s="365" t="n"/>
      <c r="AG97" s="365" t="n"/>
      <c r="AH97" s="365" t="n"/>
      <c r="AI97" s="365" t="n"/>
      <c r="AJ97" s="365" t="n"/>
    </row>
    <row r="98" ht="14" customHeight="1">
      <c r="J98" s="365" t="n"/>
      <c r="M98" s="365" t="n"/>
      <c r="N98" s="365" t="n"/>
      <c r="O98" s="365" t="n"/>
      <c r="P98" s="365" t="n"/>
      <c r="Q98" s="365" t="n"/>
      <c r="R98" s="365" t="n"/>
      <c r="S98" s="365" t="n"/>
      <c r="T98" s="365" t="n"/>
      <c r="U98" s="365" t="n"/>
      <c r="X98" s="365" t="n"/>
      <c r="Y98" s="365" t="n"/>
      <c r="Z98" s="365" t="n"/>
      <c r="AA98" s="365" t="n"/>
      <c r="AB98" s="365" t="n"/>
      <c r="AC98" s="365" t="n"/>
      <c r="AD98" s="365" t="n"/>
      <c r="AE98" s="365" t="n"/>
      <c r="AF98" s="365" t="n"/>
      <c r="AG98" s="365" t="n"/>
      <c r="AH98" s="365" t="n"/>
      <c r="AI98" s="365" t="n"/>
      <c r="AJ98" s="365" t="n"/>
    </row>
    <row r="99" ht="14" customHeight="1">
      <c r="J99" s="365" t="n"/>
      <c r="M99" s="365" t="n"/>
      <c r="N99" s="365" t="n"/>
      <c r="O99" s="365" t="n"/>
      <c r="P99" s="365" t="n"/>
      <c r="Q99" s="365" t="n"/>
      <c r="R99" s="365" t="n"/>
      <c r="S99" s="365" t="n"/>
      <c r="T99" s="365" t="n"/>
      <c r="U99" s="365" t="n"/>
      <c r="X99" s="365" t="n"/>
      <c r="Y99" s="365" t="n"/>
      <c r="Z99" s="365" t="n"/>
      <c r="AA99" s="365" t="n"/>
      <c r="AB99" s="365" t="n"/>
      <c r="AC99" s="365" t="n"/>
      <c r="AD99" s="365" t="n"/>
      <c r="AE99" s="365" t="n"/>
      <c r="AF99" s="365" t="n"/>
      <c r="AG99" s="365" t="n"/>
      <c r="AH99" s="365" t="n"/>
      <c r="AI99" s="365" t="n"/>
      <c r="AJ99" s="365" t="n"/>
    </row>
    <row r="100" ht="14" customHeight="1">
      <c r="C100" s="365" t="n"/>
      <c r="D100" s="365" t="n"/>
      <c r="E100" s="365" t="n"/>
      <c r="F100" s="365" t="n"/>
      <c r="J100" s="365" t="n"/>
      <c r="M100" s="365" t="n"/>
      <c r="N100" s="365" t="n"/>
      <c r="O100" s="365" t="n"/>
      <c r="P100" s="365" t="n"/>
      <c r="Q100" s="365" t="n"/>
      <c r="R100" s="365" t="n"/>
      <c r="S100" s="365" t="n"/>
      <c r="T100" s="365" t="n"/>
      <c r="U100" s="365" t="n"/>
      <c r="X100" s="365" t="n"/>
      <c r="Y100" s="365" t="n"/>
      <c r="Z100" s="365" t="n"/>
      <c r="AA100" s="365" t="n"/>
      <c r="AB100" s="365" t="n"/>
      <c r="AC100" s="365" t="n"/>
      <c r="AD100" s="365" t="n"/>
      <c r="AE100" s="365" t="n"/>
      <c r="AF100" s="365" t="n"/>
      <c r="AG100" s="365" t="n"/>
      <c r="AH100" s="365" t="n"/>
      <c r="AI100" s="365" t="n"/>
      <c r="AJ100" s="365" t="n"/>
    </row>
    <row r="101" ht="14" customHeight="1">
      <c r="C101" s="365" t="n"/>
      <c r="D101" s="365" t="n"/>
      <c r="F101" s="365" t="n"/>
      <c r="J101" s="365" t="n"/>
      <c r="M101" s="365" t="n"/>
      <c r="N101" s="365" t="n"/>
      <c r="O101" s="365" t="n"/>
      <c r="P101" s="365" t="n"/>
      <c r="Q101" s="365" t="n"/>
      <c r="R101" s="365" t="n"/>
      <c r="S101" s="365" t="n"/>
      <c r="T101" s="365" t="n"/>
      <c r="U101" s="365" t="n"/>
      <c r="X101" s="365" t="n"/>
      <c r="Y101" s="365" t="n"/>
      <c r="Z101" s="365" t="n"/>
      <c r="AA101" s="365" t="n"/>
      <c r="AB101" s="365" t="n"/>
      <c r="AC101" s="365" t="n"/>
      <c r="AD101" s="365" t="n"/>
      <c r="AE101" s="365" t="n"/>
      <c r="AF101" s="365" t="n"/>
      <c r="AG101" s="365" t="n"/>
      <c r="AH101" s="365" t="n"/>
      <c r="AI101" s="365" t="n"/>
      <c r="AJ101" s="365" t="n"/>
    </row>
    <row r="102" ht="14" customHeight="1">
      <c r="C102" s="365" t="n"/>
      <c r="D102" s="365" t="n"/>
      <c r="E102" s="365" t="n"/>
      <c r="F102" s="365" t="n"/>
      <c r="J102" s="365" t="n"/>
      <c r="M102" s="365" t="n"/>
      <c r="N102" s="365" t="n"/>
      <c r="O102" s="365" t="n"/>
      <c r="P102" s="365" t="n"/>
      <c r="Q102" s="365" t="n"/>
      <c r="R102" s="365" t="n"/>
      <c r="S102" s="365" t="n"/>
      <c r="T102" s="365" t="n"/>
      <c r="U102" s="365" t="n"/>
      <c r="X102" s="365" t="n"/>
      <c r="Y102" s="365" t="n"/>
      <c r="Z102" s="365" t="n"/>
      <c r="AA102" s="365" t="n"/>
      <c r="AB102" s="365" t="n"/>
      <c r="AC102" s="365" t="n"/>
      <c r="AD102" s="365" t="n"/>
      <c r="AE102" s="365" t="n"/>
      <c r="AF102" s="365" t="n"/>
      <c r="AG102" s="365" t="n"/>
      <c r="AH102" s="365" t="n"/>
      <c r="AI102" s="365" t="n"/>
      <c r="AJ102" s="365" t="n"/>
    </row>
    <row r="103" ht="14" customHeight="1">
      <c r="C103" s="365" t="n"/>
      <c r="D103" s="365" t="n"/>
      <c r="E103" s="365" t="n"/>
      <c r="F103" s="365" t="n"/>
      <c r="J103" s="365" t="n"/>
      <c r="M103" s="365" t="n"/>
      <c r="N103" s="365" t="n"/>
      <c r="O103" s="365" t="n"/>
      <c r="P103" s="365" t="n"/>
      <c r="Q103" s="365" t="n"/>
      <c r="R103" s="365" t="n"/>
      <c r="S103" s="365" t="n"/>
      <c r="T103" s="365" t="n"/>
      <c r="U103" s="365" t="n"/>
      <c r="X103" s="365" t="n"/>
      <c r="Y103" s="365" t="n"/>
      <c r="Z103" s="388" t="n"/>
      <c r="AA103" s="365" t="n"/>
      <c r="AB103" s="365" t="n"/>
      <c r="AC103" s="365" t="n"/>
    </row>
    <row r="104" ht="14" customHeight="1">
      <c r="C104" s="365" t="n"/>
      <c r="D104" s="365" t="n"/>
      <c r="E104" s="365" t="n"/>
      <c r="F104" s="365" t="n"/>
      <c r="J104" s="365" t="n"/>
      <c r="M104" s="365" t="n"/>
      <c r="N104" s="365" t="n"/>
      <c r="O104" s="365" t="n"/>
      <c r="P104" s="365" t="n"/>
      <c r="Q104" s="365" t="n"/>
      <c r="R104" s="365" t="n"/>
      <c r="S104" s="365" t="n"/>
      <c r="T104" s="365" t="n"/>
      <c r="U104" s="365" t="n"/>
      <c r="X104" s="365" t="n"/>
      <c r="Y104" s="365" t="n"/>
      <c r="Z104" s="333" t="n"/>
      <c r="AA104" s="333" t="n"/>
      <c r="AB104" s="365" t="n"/>
      <c r="AC104" s="365" t="n"/>
    </row>
    <row r="105" ht="14" customHeight="1">
      <c r="C105" s="365" t="n"/>
      <c r="D105" s="365" t="n"/>
      <c r="E105" s="365" t="n"/>
      <c r="F105" s="365" t="n"/>
      <c r="J105" s="365" t="n"/>
      <c r="M105" s="365" t="n"/>
      <c r="N105" s="365" t="n"/>
      <c r="O105" s="365" t="n"/>
      <c r="P105" s="365" t="n"/>
      <c r="Q105" s="365" t="n"/>
      <c r="R105" s="365" t="n"/>
      <c r="S105" s="365" t="n"/>
      <c r="T105" s="365" t="n"/>
      <c r="U105" s="333" t="n"/>
      <c r="X105" s="365" t="n"/>
      <c r="Y105" s="365" t="n"/>
      <c r="Z105" s="388" t="n"/>
      <c r="AA105" s="365" t="n"/>
      <c r="AB105" s="365" t="n"/>
      <c r="AC105" s="365" t="n"/>
    </row>
    <row r="106" ht="14" customHeight="1">
      <c r="C106" s="365" t="n"/>
      <c r="D106" s="365" t="n"/>
      <c r="E106" s="365" t="n"/>
      <c r="F106" s="365" t="n"/>
      <c r="G106" s="388" t="n"/>
      <c r="H106" s="365" t="n"/>
      <c r="I106" s="365" t="n"/>
      <c r="J106" s="365" t="n"/>
      <c r="M106" s="365" t="n"/>
      <c r="N106" s="365" t="n"/>
      <c r="O106" s="365" t="n"/>
      <c r="P106" s="365" t="n"/>
      <c r="Q106" s="365" t="n"/>
      <c r="R106" s="365" t="n"/>
      <c r="S106" s="365" t="n"/>
      <c r="T106" s="365" t="n"/>
      <c r="U106" s="365" t="n"/>
      <c r="V106" s="365" t="n"/>
      <c r="W106" s="365" t="n"/>
      <c r="X106" s="365" t="n"/>
      <c r="Y106" s="365" t="n"/>
      <c r="Z106" s="365" t="n"/>
      <c r="AA106" s="365" t="n"/>
      <c r="AB106" s="365" t="n"/>
      <c r="AC106" s="365" t="n"/>
    </row>
    <row r="107"/>
    <row r="108"/>
    <row r="109"/>
    <row r="110" ht="14" customHeight="1">
      <c r="F110" s="33" t="inlineStr">
        <is>
          <t>Section below for "B2" blend (NOT for Feeder 8)</t>
        </is>
      </c>
      <c r="I110" s="5" t="n"/>
      <c r="J110" s="5" t="n"/>
    </row>
    <row r="111">
      <c r="F111" s="5" t="n"/>
      <c r="G111" s="5" t="n"/>
      <c r="H111" s="5" t="n"/>
      <c r="I111" s="5" t="n"/>
      <c r="J111" s="5" t="n"/>
    </row>
    <row r="112"/>
    <row r="113" ht="13" customHeight="1">
      <c r="F113" s="26" t="inlineStr">
        <is>
          <t>B2_01</t>
        </is>
      </c>
      <c r="G113" s="35">
        <f> IF([0]!AuxBlend01Parts =#REF!,"","C")</f>
        <v/>
      </c>
      <c r="H113" s="320" t="n"/>
      <c r="I113" s="320" t="n"/>
      <c r="J113" s="35">
        <f> IF([0]!AuxBlend01RMName =#REF!,"","C")</f>
        <v/>
      </c>
    </row>
    <row r="114" ht="13" customHeight="1">
      <c r="F114" s="26" t="inlineStr">
        <is>
          <t>B2_02</t>
        </is>
      </c>
      <c r="G114" s="35">
        <f> IF([0]!AuxBlend02Parts =#REF!,"","C")</f>
        <v/>
      </c>
      <c r="H114" s="320" t="n"/>
      <c r="I114" s="320" t="n"/>
      <c r="J114" s="35">
        <f> IF([0]!AuxBlend02RMName =#REF!,"","C")</f>
        <v/>
      </c>
    </row>
    <row r="115" ht="13" customHeight="1">
      <c r="F115" s="26" t="inlineStr">
        <is>
          <t>B2_03</t>
        </is>
      </c>
      <c r="G115" s="35">
        <f> IF([0]!AuxBlend03Parts =#REF!,"","C")</f>
        <v/>
      </c>
      <c r="H115" s="320" t="n"/>
      <c r="I115" s="320" t="n"/>
      <c r="J115" s="35">
        <f> IF([0]!AuxBlend03RMName =#REF!,"","C")</f>
        <v/>
      </c>
    </row>
    <row r="116" ht="13" customHeight="1">
      <c r="F116" s="26" t="inlineStr">
        <is>
          <t>B2_04</t>
        </is>
      </c>
      <c r="G116" s="35">
        <f> IF([0]!AuxBlend04Parts =#REF!,"","C")</f>
        <v/>
      </c>
      <c r="H116" s="320" t="n"/>
      <c r="I116" s="320" t="n"/>
      <c r="J116" s="35">
        <f> IF([0]!AuxBlend04RMName =#REF!,"","C")</f>
        <v/>
      </c>
    </row>
    <row r="117" ht="13" customHeight="1">
      <c r="F117" s="26" t="inlineStr">
        <is>
          <t>B2_05</t>
        </is>
      </c>
      <c r="G117" s="309">
        <f> IF([0]!AuxBlend05Parts =#REF!,"","C")</f>
        <v/>
      </c>
      <c r="H117" s="320" t="n"/>
      <c r="I117" s="320" t="n"/>
      <c r="J117" s="309">
        <f> IF([0]!AuxBlend05RMName =#REF!,"","C")</f>
        <v/>
      </c>
    </row>
    <row r="118" ht="13" customHeight="1">
      <c r="F118" s="26" t="inlineStr">
        <is>
          <t>B2_06</t>
        </is>
      </c>
      <c r="G118" s="35">
        <f> IF([0]!AuxBlend06Parts =#REF!,"","C")</f>
        <v/>
      </c>
      <c r="H118" s="320" t="n"/>
      <c r="I118" s="320" t="n"/>
      <c r="J118" s="35">
        <f> IF([0]!AuxBlend06RMName =#REF!,"","C")</f>
        <v/>
      </c>
    </row>
    <row r="119" ht="13" customHeight="1">
      <c r="F119" s="26" t="inlineStr">
        <is>
          <t>B2_07</t>
        </is>
      </c>
      <c r="G119" s="35">
        <f> IF([0]!AuxBlend07Parts =#REF!,"","C")</f>
        <v/>
      </c>
      <c r="H119" s="320" t="n"/>
      <c r="I119" s="320" t="n"/>
      <c r="J119" s="35">
        <f> IF([0]!AuxBlend07RMName =#REF!,"","C")</f>
        <v/>
      </c>
    </row>
    <row r="120" ht="13" customHeight="1">
      <c r="F120" s="26" t="inlineStr">
        <is>
          <t>B2_08</t>
        </is>
      </c>
      <c r="G120" s="35">
        <f> IF([0]!AuxBlend08Parts =#REF!,"","C")</f>
        <v/>
      </c>
      <c r="H120" s="320" t="n"/>
      <c r="I120" s="320" t="n"/>
      <c r="J120" s="35">
        <f> IF([0]!AuxBlend08RMName =#REF!,"","C")</f>
        <v/>
      </c>
    </row>
    <row r="121" ht="13" customHeight="1">
      <c r="F121" s="26" t="inlineStr">
        <is>
          <t>B2_09</t>
        </is>
      </c>
      <c r="G121" s="35">
        <f> IF([0]!AuxBlend09Parts =#REF!,"","C")</f>
        <v/>
      </c>
      <c r="H121" s="320" t="n"/>
      <c r="I121" s="320" t="n"/>
      <c r="J121" s="35">
        <f> IF([0]!AuxBlend09RMName =#REF!,"","C")</f>
        <v/>
      </c>
      <c r="K121" s="2" t="n"/>
    </row>
    <row r="122" ht="13" customHeight="1">
      <c r="F122" s="26" t="inlineStr">
        <is>
          <t>B2_10</t>
        </is>
      </c>
      <c r="G122" s="35">
        <f> IF([0]!AuxBlend10Parts =#REF!,"","C")</f>
        <v/>
      </c>
      <c r="H122" s="320" t="n"/>
      <c r="I122" s="320" t="n"/>
      <c r="J122" s="35">
        <f> IF([0]!AuxBlend10RMName =#REF!,"","C")</f>
        <v/>
      </c>
      <c r="K122" s="2" t="n"/>
    </row>
    <row r="123" ht="13" customHeight="1">
      <c r="F123" s="26" t="inlineStr">
        <is>
          <t>B2_11</t>
        </is>
      </c>
      <c r="G123" s="35">
        <f> IF([0]!AuxBlend11Parts =#REF!,"","C")</f>
        <v/>
      </c>
      <c r="H123" s="320" t="n"/>
      <c r="I123" s="320" t="n"/>
      <c r="J123" s="35">
        <f> IF([0]!AuxBlend11RMName =#REF!,"","C")</f>
        <v/>
      </c>
      <c r="K123" s="2" t="n"/>
    </row>
    <row r="124" ht="13" customHeight="1">
      <c r="F124" s="26" t="inlineStr">
        <is>
          <t>B2_12</t>
        </is>
      </c>
      <c r="G124" s="35">
        <f> IF([0]!AuxBlend12Parts =#REF!,"","C")</f>
        <v/>
      </c>
      <c r="H124" s="320" t="n"/>
      <c r="I124" s="320" t="n"/>
      <c r="J124" s="35">
        <f> IF([0]!AuxBlend12RMName =#REF!,"","C")</f>
        <v/>
      </c>
      <c r="K124" s="2" t="n"/>
    </row>
    <row r="125" ht="13" customHeight="1">
      <c r="F125" s="26" t="inlineStr">
        <is>
          <t>B2_13</t>
        </is>
      </c>
      <c r="G125" s="309">
        <f> IF([0]!AuxBlend13Parts =#REF!,"","C")</f>
        <v/>
      </c>
      <c r="H125" s="320" t="n"/>
      <c r="I125" s="320" t="n"/>
      <c r="J125" s="309">
        <f> IF([0]!AuxBlend13RMName =#REF!,"","C")</f>
        <v/>
      </c>
      <c r="K125" s="2" t="n"/>
    </row>
    <row r="126" ht="13" customHeight="1">
      <c r="F126" s="26" t="inlineStr">
        <is>
          <t>B2_14</t>
        </is>
      </c>
      <c r="G126" s="35">
        <f> IF([0]!AuxBlend14Parts =#REF!,"","C")</f>
        <v/>
      </c>
      <c r="H126" s="320" t="n"/>
      <c r="I126" s="320" t="n"/>
      <c r="J126" s="35">
        <f> IF([0]!AuxBlend14RMName =#REF!,"","C")</f>
        <v/>
      </c>
      <c r="K126" s="2" t="n"/>
    </row>
    <row r="127" ht="13" customHeight="1">
      <c r="F127" s="26" t="inlineStr">
        <is>
          <t>B2_15</t>
        </is>
      </c>
      <c r="G127" s="35">
        <f> IF([0]!AuxBlend15Parts =#REF!,"","C")</f>
        <v/>
      </c>
      <c r="H127" s="320" t="n"/>
      <c r="I127" s="320" t="n"/>
      <c r="J127" s="35">
        <f> IF([0]!AuxBlend15RMName =#REF!,"","C")</f>
        <v/>
      </c>
      <c r="K127" s="2" t="n"/>
    </row>
    <row r="128" ht="13" customHeight="1">
      <c r="F128" s="26" t="inlineStr">
        <is>
          <t>B2_16</t>
        </is>
      </c>
      <c r="G128" s="35">
        <f> IF([0]!AuxBlend16Parts =#REF!,"","C")</f>
        <v/>
      </c>
      <c r="H128" s="320" t="n"/>
      <c r="I128" s="320" t="n"/>
      <c r="J128" s="35">
        <f> IF([0]!AuxBlend16RMName =#REF!,"","C")</f>
        <v/>
      </c>
      <c r="K128" s="2" t="n"/>
    </row>
    <row r="129">
      <c r="K129" s="2" t="n"/>
    </row>
    <row r="130">
      <c r="K130" s="2" t="n"/>
    </row>
    <row r="131" ht="14" customHeight="1">
      <c r="G131" s="27" t="inlineStr">
        <is>
          <t>B2 NEEDED</t>
        </is>
      </c>
      <c r="H131" s="28" t="n"/>
      <c r="K131" s="2" t="n"/>
    </row>
    <row r="132" ht="14" customHeight="1">
      <c r="G132" s="30" t="n"/>
      <c r="H132" s="31" t="n"/>
      <c r="I132" s="20" t="n">
        <v>780</v>
      </c>
      <c r="K132" s="2" t="n"/>
    </row>
    <row r="133" ht="13" customHeight="1">
      <c r="G133" s="36">
        <f>(AmountAdjForRWnTolerance*0.9999999999)*(Feeder9Parts/CalcSumParts)</f>
        <v/>
      </c>
      <c r="H133" s="19" t="inlineStr">
        <is>
          <t>TOTAL Lbs</t>
        </is>
      </c>
      <c r="I133" s="32">
        <f>ROUNDUP(G133/I132,0)</f>
        <v/>
      </c>
      <c r="J133" s="29" t="inlineStr">
        <is>
          <t>Bowls</t>
        </is>
      </c>
      <c r="K133" s="2" t="n"/>
    </row>
    <row r="134" ht="13" customHeight="1">
      <c r="G134" s="24">
        <f>AuxPBFdrTotLbs/ROUNDUP((AuxPBFdrTotLbs/MaxAuxPBbowlWt),0)</f>
        <v/>
      </c>
      <c r="H134" s="19" t="inlineStr">
        <is>
          <t>Lbs</t>
        </is>
      </c>
      <c r="I134" s="529" t="n"/>
      <c r="J134" s="530" t="inlineStr">
        <is>
          <t>Feeder</t>
        </is>
      </c>
      <c r="K134" s="2" t="n"/>
    </row>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sheetData>
  <sheetProtection selectLockedCells="1" selectUnlockedCells="0" sheet="1" objects="1" insertRows="1" insertHyperlinks="1" autoFilter="1" scenarios="1" formatColumns="1" deleteColumns="1" insertColumns="1" pivotTables="1" deleteRows="1" formatCells="1" formatRows="1" sort="1"/>
  <mergeCells count="2">
    <mergeCell ref="A1:A2"/>
    <mergeCell ref="D45:H54"/>
  </mergeCells>
  <dataValidations count="8">
    <dataValidation sqref="I113:I117" showErrorMessage="1" showInputMessage="1" allowBlank="0"/>
    <dataValidation sqref="I11" showErrorMessage="1" showInputMessage="1" allowBlank="0" errorTitle="Restricted Choices" error="Yes: Line is 6 and I want F7 less than 15%_x000a_No : Line is 6 but need 15% or mor in F8._x000a_N/A: Line is not 6." promptTitle="If Line is 6, then..." prompt="Normally L6 F7 is 15% or more so talc pushes preblend in F8 down the horizontal auger. This is enforced by default here in JOBPACK. You can bypass (disable enforcement), by choosing Yes." type="list">
      <formula1>"Yes, No, N/A"</formula1>
    </dataValidation>
    <dataValidation sqref="C12" showErrorMessage="1" showInputMessage="1" allowBlank="0" errorTitle="Error" error="Check Code" promptTitle="Attention" prompt="Enter C/O code or select from list" type="list">
      <formula1>"0310,0320,0330,0340,0350,0360"</formula1>
    </dataValidation>
    <dataValidation sqref="F30 F13 F11" showErrorMessage="1" showInputMessage="1" allowBlank="0" errorTitle="Error" error="Numbers from 0 to 100 only" type="decimal">
      <formula1>0</formula1>
      <formula2>100</formula2>
    </dataValidation>
    <dataValidation sqref="C6:C7 C13" showErrorMessage="1" showInputMessage="1" allowBlank="0" error="Yes or No" type="list">
      <formula1>"Yes,No"</formula1>
    </dataValidation>
    <dataValidation sqref="C24" showErrorMessage="1" showDropDown="1" showInputMessage="1" allowBlank="0" errorTitle="Only 2 choices" error="TS or FCM are the only 2 mixer types used by Chemtrusion." type="list">
      <formula1>"TS,FCM"</formula1>
    </dataValidation>
    <dataValidation sqref="I134" showErrorMessage="1" showInputMessage="1" allowBlank="0" errorTitle="Restricted choices" error="Any feeder except 8, or as ingredient in the F8 Preblend._x000a_Your entry will populate the auxillary/second blend log when it is printed." promptTitle="Pick a Feeder" type="list">
      <formula1>"1,2,3,4,5,6,7,9,As ingredient of F8 preblend"</formula1>
    </dataValidation>
    <dataValidation sqref="C14" showErrorMessage="1" showInputMessage="1" allowBlank="0" errorTitle="Error!" error="Only accepts from 99 to 130" type="decimal">
      <formula1>99</formula1>
      <formula2>130</formula2>
    </dataValidation>
  </dataValidations>
  <pageMargins left="0.25" right="0.25" top="0.75" bottom="0.75" header="0.3" footer="0.3"/>
  <pageSetup orientation="landscape" paperSize="5" scale="61"/>
  <legacyDrawing r:id="anysvml"/>
</worksheet>
</file>

<file path=xl/worksheets/sheet20.xml><?xml version="1.0" encoding="utf-8"?>
<worksheet xmlns="http://schemas.openxmlformats.org/spreadsheetml/2006/main">
  <sheetPr codeName="Sheet20">
    <outlinePr summaryBelow="1" summaryRight="1"/>
    <pageSetUpPr/>
  </sheetPr>
  <dimension ref="A1:CE53"/>
  <sheetViews>
    <sheetView showGridLines="0" view="pageBreakPreview" zoomScaleNormal="100" zoomScaleSheetLayoutView="100" workbookViewId="0">
      <selection activeCell="C5" sqref="C5"/>
    </sheetView>
  </sheetViews>
  <sheetFormatPr baseColWidth="8" defaultRowHeight="12.5"/>
  <cols>
    <col width="8.7265625" customWidth="1" style="662" min="1" max="12"/>
    <col width="11.1796875" customWidth="1" style="662" min="13" max="13"/>
    <col width="9.1796875" customWidth="1" style="662" min="14" max="256"/>
    <col width="8.7265625" customWidth="1" style="662" min="257" max="268"/>
    <col width="11.1796875" customWidth="1" style="662" min="269" max="269"/>
    <col width="9.1796875" customWidth="1" style="662" min="270" max="512"/>
    <col width="8.7265625" customWidth="1" style="662" min="513" max="524"/>
    <col width="11.1796875" customWidth="1" style="662" min="525" max="525"/>
    <col width="9.1796875" customWidth="1" style="662" min="526" max="768"/>
    <col width="8.7265625" customWidth="1" style="662" min="769" max="780"/>
    <col width="11.1796875" customWidth="1" style="662" min="781" max="781"/>
    <col width="9.1796875" customWidth="1" style="662" min="782" max="1024"/>
    <col width="8.7265625" customWidth="1" style="662" min="1025" max="1036"/>
    <col width="11.1796875" customWidth="1" style="662" min="1037" max="1037"/>
    <col width="9.1796875" customWidth="1" style="662" min="1038" max="1280"/>
    <col width="8.7265625" customWidth="1" style="662" min="1281" max="1292"/>
    <col width="11.1796875" customWidth="1" style="662" min="1293" max="1293"/>
    <col width="9.1796875" customWidth="1" style="662" min="1294" max="1536"/>
    <col width="8.7265625" customWidth="1" style="662" min="1537" max="1548"/>
    <col width="11.1796875" customWidth="1" style="662" min="1549" max="1549"/>
    <col width="9.1796875" customWidth="1" style="662" min="1550" max="1792"/>
    <col width="8.7265625" customWidth="1" style="662" min="1793" max="1804"/>
    <col width="11.1796875" customWidth="1" style="662" min="1805" max="1805"/>
    <col width="9.1796875" customWidth="1" style="662" min="1806" max="2048"/>
    <col width="8.7265625" customWidth="1" style="662" min="2049" max="2060"/>
    <col width="11.1796875" customWidth="1" style="662" min="2061" max="2061"/>
    <col width="9.1796875" customWidth="1" style="662" min="2062" max="2304"/>
    <col width="8.7265625" customWidth="1" style="662" min="2305" max="2316"/>
    <col width="11.1796875" customWidth="1" style="662" min="2317" max="2317"/>
    <col width="9.1796875" customWidth="1" style="662" min="2318" max="2560"/>
    <col width="8.7265625" customWidth="1" style="662" min="2561" max="2572"/>
    <col width="11.1796875" customWidth="1" style="662" min="2573" max="2573"/>
    <col width="9.1796875" customWidth="1" style="662" min="2574" max="2816"/>
    <col width="8.7265625" customWidth="1" style="662" min="2817" max="2828"/>
    <col width="11.1796875" customWidth="1" style="662" min="2829" max="2829"/>
    <col width="9.1796875" customWidth="1" style="662" min="2830" max="3072"/>
    <col width="8.7265625" customWidth="1" style="662" min="3073" max="3084"/>
    <col width="11.1796875" customWidth="1" style="662" min="3085" max="3085"/>
    <col width="9.1796875" customWidth="1" style="662" min="3086" max="3328"/>
    <col width="8.7265625" customWidth="1" style="662" min="3329" max="3340"/>
    <col width="11.1796875" customWidth="1" style="662" min="3341" max="3341"/>
    <col width="9.1796875" customWidth="1" style="662" min="3342" max="3584"/>
    <col width="8.7265625" customWidth="1" style="662" min="3585" max="3596"/>
    <col width="11.1796875" customWidth="1" style="662" min="3597" max="3597"/>
    <col width="9.1796875" customWidth="1" style="662" min="3598" max="3840"/>
    <col width="8.7265625" customWidth="1" style="662" min="3841" max="3852"/>
    <col width="11.1796875" customWidth="1" style="662" min="3853" max="3853"/>
    <col width="9.1796875" customWidth="1" style="662" min="3854" max="4096"/>
    <col width="8.7265625" customWidth="1" style="662" min="4097" max="4108"/>
    <col width="11.1796875" customWidth="1" style="662" min="4109" max="4109"/>
    <col width="9.1796875" customWidth="1" style="662" min="4110" max="4352"/>
    <col width="8.7265625" customWidth="1" style="662" min="4353" max="4364"/>
    <col width="11.1796875" customWidth="1" style="662" min="4365" max="4365"/>
    <col width="9.1796875" customWidth="1" style="662" min="4366" max="4608"/>
    <col width="8.7265625" customWidth="1" style="662" min="4609" max="4620"/>
    <col width="11.1796875" customWidth="1" style="662" min="4621" max="4621"/>
    <col width="9.1796875" customWidth="1" style="662" min="4622" max="4864"/>
    <col width="8.7265625" customWidth="1" style="662" min="4865" max="4876"/>
    <col width="11.1796875" customWidth="1" style="662" min="4877" max="4877"/>
    <col width="9.1796875" customWidth="1" style="662" min="4878" max="5120"/>
    <col width="8.7265625" customWidth="1" style="662" min="5121" max="5132"/>
    <col width="11.1796875" customWidth="1" style="662" min="5133" max="5133"/>
    <col width="9.1796875" customWidth="1" style="662" min="5134" max="5376"/>
    <col width="8.7265625" customWidth="1" style="662" min="5377" max="5388"/>
    <col width="11.1796875" customWidth="1" style="662" min="5389" max="5389"/>
    <col width="9.1796875" customWidth="1" style="662" min="5390" max="5632"/>
    <col width="8.7265625" customWidth="1" style="662" min="5633" max="5644"/>
    <col width="11.1796875" customWidth="1" style="662" min="5645" max="5645"/>
    <col width="9.1796875" customWidth="1" style="662" min="5646" max="5888"/>
    <col width="8.7265625" customWidth="1" style="662" min="5889" max="5900"/>
    <col width="11.1796875" customWidth="1" style="662" min="5901" max="5901"/>
    <col width="9.1796875" customWidth="1" style="662" min="5902" max="6144"/>
    <col width="8.7265625" customWidth="1" style="662" min="6145" max="6156"/>
    <col width="11.1796875" customWidth="1" style="662" min="6157" max="6157"/>
    <col width="9.1796875" customWidth="1" style="662" min="6158" max="6400"/>
    <col width="8.7265625" customWidth="1" style="662" min="6401" max="6412"/>
    <col width="11.1796875" customWidth="1" style="662" min="6413" max="6413"/>
    <col width="9.1796875" customWidth="1" style="662" min="6414" max="6656"/>
    <col width="8.7265625" customWidth="1" style="662" min="6657" max="6668"/>
    <col width="11.1796875" customWidth="1" style="662" min="6669" max="6669"/>
    <col width="9.1796875" customWidth="1" style="662" min="6670" max="6912"/>
    <col width="8.7265625" customWidth="1" style="662" min="6913" max="6924"/>
    <col width="11.1796875" customWidth="1" style="662" min="6925" max="6925"/>
    <col width="9.1796875" customWidth="1" style="662" min="6926" max="7168"/>
    <col width="8.7265625" customWidth="1" style="662" min="7169" max="7180"/>
    <col width="11.1796875" customWidth="1" style="662" min="7181" max="7181"/>
    <col width="9.1796875" customWidth="1" style="662" min="7182" max="7424"/>
    <col width="8.7265625" customWidth="1" style="662" min="7425" max="7436"/>
    <col width="11.1796875" customWidth="1" style="662" min="7437" max="7437"/>
    <col width="9.1796875" customWidth="1" style="662" min="7438" max="7680"/>
    <col width="8.7265625" customWidth="1" style="662" min="7681" max="7692"/>
    <col width="11.1796875" customWidth="1" style="662" min="7693" max="7693"/>
    <col width="9.1796875" customWidth="1" style="662" min="7694" max="7936"/>
    <col width="8.7265625" customWidth="1" style="662" min="7937" max="7948"/>
    <col width="11.1796875" customWidth="1" style="662" min="7949" max="7949"/>
    <col width="9.1796875" customWidth="1" style="662" min="7950" max="8192"/>
    <col width="8.7265625" customWidth="1" style="662" min="8193" max="8204"/>
    <col width="11.1796875" customWidth="1" style="662" min="8205" max="8205"/>
    <col width="9.1796875" customWidth="1" style="662" min="8206" max="8448"/>
    <col width="8.7265625" customWidth="1" style="662" min="8449" max="8460"/>
    <col width="11.1796875" customWidth="1" style="662" min="8461" max="8461"/>
    <col width="9.1796875" customWidth="1" style="662" min="8462" max="8704"/>
    <col width="8.7265625" customWidth="1" style="662" min="8705" max="8716"/>
    <col width="11.1796875" customWidth="1" style="662" min="8717" max="8717"/>
    <col width="9.1796875" customWidth="1" style="662" min="8718" max="8960"/>
    <col width="8.7265625" customWidth="1" style="662" min="8961" max="8972"/>
    <col width="11.1796875" customWidth="1" style="662" min="8973" max="8973"/>
    <col width="9.1796875" customWidth="1" style="662" min="8974" max="9216"/>
    <col width="8.7265625" customWidth="1" style="662" min="9217" max="9228"/>
    <col width="11.1796875" customWidth="1" style="662" min="9229" max="9229"/>
    <col width="9.1796875" customWidth="1" style="662" min="9230" max="9472"/>
    <col width="8.7265625" customWidth="1" style="662" min="9473" max="9484"/>
    <col width="11.1796875" customWidth="1" style="662" min="9485" max="9485"/>
    <col width="9.1796875" customWidth="1" style="662" min="9486" max="9728"/>
    <col width="8.7265625" customWidth="1" style="662" min="9729" max="9740"/>
    <col width="11.1796875" customWidth="1" style="662" min="9741" max="9741"/>
    <col width="9.1796875" customWidth="1" style="662" min="9742" max="9984"/>
    <col width="8.7265625" customWidth="1" style="662" min="9985" max="9996"/>
    <col width="11.1796875" customWidth="1" style="662" min="9997" max="9997"/>
    <col width="9.1796875" customWidth="1" style="662" min="9998" max="10240"/>
    <col width="8.7265625" customWidth="1" style="662" min="10241" max="10252"/>
    <col width="11.1796875" customWidth="1" style="662" min="10253" max="10253"/>
    <col width="9.1796875" customWidth="1" style="662" min="10254" max="10496"/>
    <col width="8.7265625" customWidth="1" style="662" min="10497" max="10508"/>
    <col width="11.1796875" customWidth="1" style="662" min="10509" max="10509"/>
    <col width="9.1796875" customWidth="1" style="662" min="10510" max="10752"/>
    <col width="8.7265625" customWidth="1" style="662" min="10753" max="10764"/>
    <col width="11.1796875" customWidth="1" style="662" min="10765" max="10765"/>
    <col width="9.1796875" customWidth="1" style="662" min="10766" max="11008"/>
    <col width="8.7265625" customWidth="1" style="662" min="11009" max="11020"/>
    <col width="11.1796875" customWidth="1" style="662" min="11021" max="11021"/>
    <col width="9.1796875" customWidth="1" style="662" min="11022" max="11264"/>
    <col width="8.7265625" customWidth="1" style="662" min="11265" max="11276"/>
    <col width="11.1796875" customWidth="1" style="662" min="11277" max="11277"/>
    <col width="9.1796875" customWidth="1" style="662" min="11278" max="11520"/>
    <col width="8.7265625" customWidth="1" style="662" min="11521" max="11532"/>
    <col width="11.1796875" customWidth="1" style="662" min="11533" max="11533"/>
    <col width="9.1796875" customWidth="1" style="662" min="11534" max="11776"/>
    <col width="8.7265625" customWidth="1" style="662" min="11777" max="11788"/>
    <col width="11.1796875" customWidth="1" style="662" min="11789" max="11789"/>
    <col width="9.1796875" customWidth="1" style="662" min="11790" max="12032"/>
    <col width="8.7265625" customWidth="1" style="662" min="12033" max="12044"/>
    <col width="11.1796875" customWidth="1" style="662" min="12045" max="12045"/>
    <col width="9.1796875" customWidth="1" style="662" min="12046" max="12288"/>
    <col width="8.7265625" customWidth="1" style="662" min="12289" max="12300"/>
    <col width="11.1796875" customWidth="1" style="662" min="12301" max="12301"/>
    <col width="9.1796875" customWidth="1" style="662" min="12302" max="12544"/>
    <col width="8.7265625" customWidth="1" style="662" min="12545" max="12556"/>
    <col width="11.1796875" customWidth="1" style="662" min="12557" max="12557"/>
    <col width="9.1796875" customWidth="1" style="662" min="12558" max="12800"/>
    <col width="8.7265625" customWidth="1" style="662" min="12801" max="12812"/>
    <col width="11.1796875" customWidth="1" style="662" min="12813" max="12813"/>
    <col width="9.1796875" customWidth="1" style="662" min="12814" max="13056"/>
    <col width="8.7265625" customWidth="1" style="662" min="13057" max="13068"/>
    <col width="11.1796875" customWidth="1" style="662" min="13069" max="13069"/>
    <col width="9.1796875" customWidth="1" style="662" min="13070" max="13312"/>
    <col width="8.7265625" customWidth="1" style="662" min="13313" max="13324"/>
    <col width="11.1796875" customWidth="1" style="662" min="13325" max="13325"/>
    <col width="9.1796875" customWidth="1" style="662" min="13326" max="13568"/>
    <col width="8.7265625" customWidth="1" style="662" min="13569" max="13580"/>
    <col width="11.1796875" customWidth="1" style="662" min="13581" max="13581"/>
    <col width="9.1796875" customWidth="1" style="662" min="13582" max="13824"/>
    <col width="8.7265625" customWidth="1" style="662" min="13825" max="13836"/>
    <col width="11.1796875" customWidth="1" style="662" min="13837" max="13837"/>
    <col width="9.1796875" customWidth="1" style="662" min="13838" max="14080"/>
    <col width="8.7265625" customWidth="1" style="662" min="14081" max="14092"/>
    <col width="11.1796875" customWidth="1" style="662" min="14093" max="14093"/>
    <col width="9.1796875" customWidth="1" style="662" min="14094" max="14336"/>
    <col width="8.7265625" customWidth="1" style="662" min="14337" max="14348"/>
    <col width="11.1796875" customWidth="1" style="662" min="14349" max="14349"/>
    <col width="9.1796875" customWidth="1" style="662" min="14350" max="14592"/>
    <col width="8.7265625" customWidth="1" style="662" min="14593" max="14604"/>
    <col width="11.1796875" customWidth="1" style="662" min="14605" max="14605"/>
    <col width="9.1796875" customWidth="1" style="662" min="14606" max="14848"/>
    <col width="8.7265625" customWidth="1" style="662" min="14849" max="14860"/>
    <col width="11.1796875" customWidth="1" style="662" min="14861" max="14861"/>
    <col width="9.1796875" customWidth="1" style="662" min="14862" max="15104"/>
    <col width="8.7265625" customWidth="1" style="662" min="15105" max="15116"/>
    <col width="11.1796875" customWidth="1" style="662" min="15117" max="15117"/>
    <col width="9.1796875" customWidth="1" style="662" min="15118" max="15360"/>
    <col width="8.7265625" customWidth="1" style="662" min="15361" max="15372"/>
    <col width="11.1796875" customWidth="1" style="662" min="15373" max="15373"/>
    <col width="9.1796875" customWidth="1" style="662" min="15374" max="15616"/>
    <col width="8.7265625" customWidth="1" style="662" min="15617" max="15628"/>
    <col width="11.1796875" customWidth="1" style="662" min="15629" max="15629"/>
    <col width="9.1796875" customWidth="1" style="662" min="15630" max="15872"/>
    <col width="8.7265625" customWidth="1" style="662" min="15873" max="15884"/>
    <col width="11.1796875" customWidth="1" style="662" min="15885" max="15885"/>
    <col width="9.1796875" customWidth="1" style="662" min="15886" max="16128"/>
    <col width="8.7265625" customWidth="1" style="662" min="16129" max="16140"/>
    <col width="11.1796875" customWidth="1" style="662" min="16141" max="16141"/>
    <col width="9.1796875" customWidth="1" style="662" min="16142" max="16384"/>
  </cols>
  <sheetData>
    <row r="1" ht="50.25" customHeight="1">
      <c r="A1" s="916" t="inlineStr">
        <is>
          <t>MPCI</t>
        </is>
      </c>
      <c r="B1" s="714" t="inlineStr">
        <is>
          <t>FEEDER LOG</t>
        </is>
      </c>
      <c r="C1" s="437" t="n"/>
      <c r="D1" s="437" t="n"/>
      <c r="E1" s="630" t="inlineStr">
        <is>
          <t>DOC:        FRM-104</t>
        </is>
      </c>
      <c r="F1" s="558" t="inlineStr">
        <is>
          <t>REVISION LEVEL: 011</t>
        </is>
      </c>
      <c r="G1" s="856" t="n"/>
      <c r="H1" s="856" t="n"/>
      <c r="I1" s="857" t="n"/>
      <c r="J1" s="560" t="inlineStr">
        <is>
          <t>ISSUE DATE: 9/30/19</t>
        </is>
      </c>
      <c r="K1" s="856" t="n"/>
      <c r="L1" s="857" t="n"/>
      <c r="M1" s="179" t="n"/>
      <c r="T1" s="46" t="n"/>
      <c r="U1" s="46" t="n"/>
      <c r="V1" s="46" t="n"/>
      <c r="W1" s="46" t="n"/>
      <c r="X1" s="46" t="n"/>
      <c r="Y1" s="46" t="n"/>
      <c r="Z1" s="46" t="n"/>
      <c r="AA1" s="46" t="n"/>
      <c r="AB1" s="46" t="n"/>
      <c r="AC1" s="46" t="n"/>
      <c r="AD1" s="46" t="n"/>
      <c r="AE1" s="46" t="n"/>
      <c r="AF1" s="46" t="n"/>
      <c r="AG1" s="46" t="n"/>
      <c r="AH1" s="46" t="n"/>
      <c r="AI1" s="46" t="n"/>
      <c r="AJ1" s="46" t="n"/>
      <c r="AK1" s="46" t="n"/>
      <c r="AL1" s="46" t="n"/>
      <c r="AM1" s="46" t="n"/>
      <c r="AN1" s="46" t="n"/>
      <c r="AO1" s="46" t="n"/>
      <c r="AP1" s="46" t="n"/>
      <c r="AQ1" s="46" t="n"/>
      <c r="AR1" s="46" t="n"/>
      <c r="AS1" s="46" t="n"/>
      <c r="AT1" s="46" t="n"/>
      <c r="AU1" s="46" t="n"/>
      <c r="AV1" s="46" t="n"/>
      <c r="AW1" s="46" t="n"/>
      <c r="AX1" s="46" t="n"/>
      <c r="AY1" s="46" t="n"/>
      <c r="AZ1" s="46" t="n"/>
      <c r="BA1" s="46" t="n"/>
      <c r="BB1" s="46" t="n"/>
      <c r="BC1" s="46" t="n"/>
      <c r="BD1" s="46" t="n"/>
      <c r="BE1" s="46" t="n"/>
      <c r="BF1" s="46" t="n"/>
      <c r="BG1" s="46" t="n"/>
      <c r="BH1" s="46" t="n"/>
      <c r="BI1" s="46" t="n"/>
      <c r="BJ1" s="46" t="n"/>
      <c r="BK1" s="46" t="n"/>
      <c r="BL1" s="46" t="n"/>
      <c r="BM1" s="46" t="n"/>
      <c r="BN1" s="46" t="n"/>
      <c r="BO1" s="46" t="n"/>
      <c r="BP1" s="46" t="n"/>
      <c r="BR1" s="46" t="n"/>
      <c r="BS1" s="46" t="n"/>
      <c r="BT1" s="46" t="n"/>
      <c r="BU1" s="46" t="n"/>
      <c r="BV1" s="46" t="n"/>
      <c r="BW1" s="46" t="n"/>
      <c r="BX1" s="46" t="n"/>
      <c r="BY1" s="46" t="n"/>
      <c r="BZ1" s="46" t="n"/>
      <c r="CA1" s="46" t="n"/>
      <c r="CB1" s="46" t="n"/>
      <c r="CC1" s="46" t="n"/>
      <c r="CD1" s="46" t="n"/>
      <c r="CE1" s="46" t="n"/>
    </row>
    <row r="2" ht="30" customHeight="1">
      <c r="A2" s="846" t="n"/>
      <c r="B2" s="917" t="inlineStr">
        <is>
          <t>Form Reviewed by: Quality Coordinator</t>
        </is>
      </c>
      <c r="C2" s="856" t="n"/>
      <c r="D2" s="857" t="n"/>
      <c r="E2" s="558" t="inlineStr">
        <is>
          <t>Form Approved by: Site Manager</t>
        </is>
      </c>
      <c r="F2" s="857" t="n"/>
      <c r="G2" s="558" t="inlineStr">
        <is>
          <t>Reference:  Feeder Operation PRO-010;                                           Process Step # 4 "Feeding"</t>
        </is>
      </c>
      <c r="H2" s="856" t="n"/>
      <c r="I2" s="856" t="n"/>
      <c r="J2" s="856" t="n"/>
      <c r="K2" s="856" t="n"/>
      <c r="L2" s="857" t="n"/>
      <c r="M2" s="179" t="n"/>
      <c r="N2" s="258" t="n"/>
      <c r="O2" s="258" t="n"/>
      <c r="T2" s="46" t="n"/>
      <c r="U2" s="46" t="n"/>
      <c r="V2" s="46" t="n"/>
      <c r="W2" s="46" t="n"/>
      <c r="X2" s="46" t="n"/>
      <c r="Y2" s="46" t="n"/>
      <c r="Z2" s="46" t="n"/>
      <c r="AA2" s="46" t="n"/>
      <c r="AB2" s="46" t="n"/>
      <c r="AC2" s="46" t="n"/>
      <c r="AD2" s="46" t="n"/>
      <c r="AE2" s="46" t="n"/>
      <c r="AF2" s="46" t="n"/>
      <c r="AG2" s="46" t="n"/>
      <c r="AH2" s="46" t="n"/>
      <c r="AI2" s="46" t="n"/>
      <c r="AJ2" s="46" t="n"/>
      <c r="AK2" s="46" t="n"/>
      <c r="AL2" s="46" t="n"/>
      <c r="AM2" s="46" t="n"/>
      <c r="AN2" s="46" t="n"/>
      <c r="AO2" s="46" t="n"/>
      <c r="AP2" s="46" t="n"/>
      <c r="AQ2" s="46" t="n"/>
      <c r="AR2" s="46" t="n"/>
      <c r="AS2" s="46" t="n"/>
      <c r="AT2" s="46" t="n"/>
      <c r="AU2" s="46" t="n"/>
      <c r="AV2" s="46" t="n"/>
      <c r="AW2" s="46" t="n"/>
      <c r="AX2" s="46" t="n"/>
      <c r="AY2" s="46" t="n"/>
      <c r="AZ2" s="46" t="n"/>
      <c r="BA2" s="46" t="n"/>
      <c r="BB2" s="46" t="n"/>
      <c r="BC2" s="46" t="n"/>
      <c r="BD2" s="46" t="n"/>
      <c r="BE2" s="46" t="n"/>
      <c r="BF2" s="46" t="n"/>
      <c r="BG2" s="46" t="n"/>
      <c r="BH2" s="46" t="n"/>
      <c r="BI2" s="46" t="n"/>
      <c r="BJ2" s="46" t="n"/>
      <c r="BK2" s="46" t="n"/>
      <c r="BL2" s="46" t="n"/>
      <c r="BM2" s="46" t="n"/>
      <c r="BN2" s="46" t="n"/>
      <c r="BO2" s="46" t="n"/>
      <c r="BP2" s="46" t="n"/>
      <c r="BR2" s="47" t="n"/>
      <c r="BS2" s="47" t="n"/>
      <c r="BT2" s="47" t="n"/>
      <c r="BU2" s="47" t="n"/>
      <c r="BV2" s="47" t="n"/>
      <c r="BW2" s="47" t="n"/>
      <c r="BX2" s="47" t="n"/>
      <c r="BY2" s="47" t="n"/>
      <c r="BZ2" s="47" t="n"/>
      <c r="CA2" s="47" t="n"/>
      <c r="CB2" s="47" t="n"/>
      <c r="CC2" s="47" t="n"/>
      <c r="CD2" s="47" t="n"/>
      <c r="CE2" s="47" t="n"/>
    </row>
    <row r="3" ht="7.5" customHeight="1">
      <c r="J3" s="653" t="n"/>
      <c r="K3" s="653" t="n"/>
      <c r="L3" s="653" t="n"/>
    </row>
    <row r="4" ht="24" customFormat="1" customHeight="1" s="248">
      <c r="A4" s="918" t="inlineStr">
        <is>
          <t>RAW MATERIAL:</t>
        </is>
      </c>
      <c r="B4" s="857" t="n"/>
      <c r="C4" s="743">
        <f>PACKET!G13</f>
        <v/>
      </c>
      <c r="D4" s="856" t="n"/>
      <c r="E4" s="856" t="n"/>
      <c r="F4" s="856" t="n"/>
      <c r="G4" s="856" t="n"/>
      <c r="H4" s="919" t="inlineStr">
        <is>
          <t>JOB NUMBER:</t>
        </is>
      </c>
      <c r="I4" s="857" t="n"/>
      <c r="J4" s="920">
        <f>PACKET!C27</f>
        <v/>
      </c>
      <c r="K4" s="856" t="n"/>
      <c r="L4" s="857" t="n"/>
    </row>
    <row r="5" ht="26.25" customFormat="1" customHeight="1" s="248">
      <c r="A5" s="918" t="inlineStr">
        <is>
          <t>LINE NUMBER:</t>
        </is>
      </c>
      <c r="B5" s="857" t="n"/>
      <c r="C5" s="259">
        <f>PACKET!C26</f>
        <v/>
      </c>
      <c r="D5" s="918" t="inlineStr">
        <is>
          <t>FEEDER NUMBER:</t>
        </is>
      </c>
      <c r="E5" s="857" t="n"/>
      <c r="F5" s="920" t="inlineStr">
        <is>
          <t>NINE</t>
        </is>
      </c>
      <c r="G5" s="857" t="n"/>
      <c r="H5" s="919" t="inlineStr">
        <is>
          <t>T.L. APPROVAL:</t>
        </is>
      </c>
      <c r="I5" s="857" t="n"/>
      <c r="J5" s="259">
        <f>PACKET!C5</f>
        <v/>
      </c>
      <c r="K5" s="856" t="n"/>
      <c r="L5" s="857" t="n"/>
    </row>
    <row r="6" ht="9.75" customFormat="1" customHeight="1" s="248">
      <c r="A6" s="260" t="n"/>
      <c r="B6" s="260" t="n"/>
      <c r="C6" s="261" t="n"/>
      <c r="D6" s="260" t="n"/>
      <c r="E6" s="260" t="n"/>
      <c r="F6" s="262" t="n"/>
      <c r="G6" s="170" t="n"/>
      <c r="H6" s="169" t="n"/>
      <c r="I6" s="169" t="n"/>
      <c r="J6" s="263" t="n"/>
      <c r="K6" s="263" t="n"/>
      <c r="L6" s="263" t="n"/>
    </row>
    <row r="7" ht="24" customFormat="1" customHeight="1" s="248">
      <c r="A7" s="263" t="n"/>
      <c r="B7" s="264" t="n"/>
      <c r="C7" s="264" t="n"/>
      <c r="D7" s="263" t="n"/>
      <c r="E7" s="263" t="n"/>
      <c r="F7" s="263" t="n"/>
      <c r="G7" s="263" t="n"/>
      <c r="H7" s="263" t="n"/>
      <c r="I7" s="263" t="n"/>
      <c r="J7" s="264" t="n"/>
      <c r="K7" s="264" t="n"/>
      <c r="L7" s="264" t="n"/>
    </row>
    <row r="8" ht="15" customFormat="1" customHeight="1" s="248">
      <c r="A8" s="720" t="inlineStr">
        <is>
          <t>BOX, CRATE, SS, AND BOWL MATERIAL</t>
        </is>
      </c>
      <c r="B8" s="856" t="n"/>
      <c r="C8" s="856" t="n"/>
      <c r="D8" s="856" t="n"/>
      <c r="E8" s="856" t="n"/>
      <c r="F8" s="921" t="inlineStr">
        <is>
          <t>RAILCAR MATERIAL</t>
        </is>
      </c>
      <c r="G8" s="856" t="n"/>
      <c r="H8" s="856" t="n"/>
      <c r="I8" s="856" t="n"/>
      <c r="J8" s="856" t="n"/>
      <c r="K8" s="856" t="n"/>
      <c r="L8" s="857" t="n"/>
    </row>
    <row r="9" ht="15" customFormat="1" customHeight="1" s="248">
      <c r="A9" s="922" t="inlineStr">
        <is>
          <t xml:space="preserve">Throughout job, from beginning to end; record Team, Date, R #  for every Receiver of material loaded. Load material in FIFO order. When consuming multiple packages of the same receiver, only one entry is required per shift.  For Blends record every bowl number loaded. No 2nd check is necessary. </t>
        </is>
      </c>
      <c r="B9" s="437" t="n"/>
      <c r="C9" s="437" t="n"/>
      <c r="D9" s="437" t="n"/>
      <c r="E9" s="859" t="n"/>
      <c r="F9" s="923" t="inlineStr">
        <is>
          <t>When using material out of a railcar, use the Event Log to track the railcar usage. Record all other material usage on this form.</t>
        </is>
      </c>
      <c r="G9" s="437" t="n"/>
      <c r="H9" s="437" t="n"/>
      <c r="I9" s="437" t="n"/>
      <c r="J9" s="437" t="n"/>
      <c r="K9" s="437" t="n"/>
      <c r="L9" s="859" t="n"/>
    </row>
    <row r="10" ht="15" customFormat="1" customHeight="1" s="248">
      <c r="A10" s="854" t="n"/>
      <c r="E10" s="528" t="n"/>
      <c r="F10" s="474" t="n"/>
      <c r="G10" s="441" t="n"/>
      <c r="H10" s="441" t="n"/>
      <c r="I10" s="441" t="n"/>
      <c r="J10" s="441" t="n"/>
      <c r="K10" s="441" t="n"/>
      <c r="L10" s="442" t="n"/>
    </row>
    <row r="11" ht="15" customFormat="1" customHeight="1" s="248">
      <c r="A11" s="474" t="n"/>
      <c r="B11" s="441" t="n"/>
      <c r="C11" s="441" t="n"/>
      <c r="D11" s="441" t="n"/>
      <c r="E11" s="442" t="n"/>
      <c r="F11" s="923" t="inlineStr">
        <is>
          <t>At start of job; record  Car #, Comp, and R #. On the Event Log  .  The 2nd check will be completed on the Changeover Checklist.</t>
        </is>
      </c>
      <c r="G11" s="437" t="n"/>
      <c r="H11" s="437" t="n"/>
      <c r="I11" s="437" t="n"/>
      <c r="J11" s="437" t="n"/>
      <c r="K11" s="437" t="n"/>
      <c r="L11" s="859" t="n"/>
    </row>
    <row r="12" ht="15" customFormat="1" customHeight="1" s="248">
      <c r="A12" s="924" t="inlineStr">
        <is>
          <t>MISCELLANEOUS</t>
        </is>
      </c>
      <c r="B12" s="856" t="n"/>
      <c r="C12" s="856" t="n"/>
      <c r="D12" s="856" t="n"/>
      <c r="E12" s="857" t="n"/>
      <c r="F12" s="474" t="n"/>
      <c r="G12" s="441" t="n"/>
      <c r="H12" s="441" t="n"/>
      <c r="I12" s="441" t="n"/>
      <c r="J12" s="441" t="n"/>
      <c r="K12" s="441" t="n"/>
      <c r="L12" s="442" t="n"/>
    </row>
    <row r="13" ht="15" customFormat="1" customHeight="1" s="248">
      <c r="A13" s="925" t="inlineStr">
        <is>
          <t>Contact Supervision if another Feeder Log is needed!</t>
        </is>
      </c>
      <c r="B13" s="437" t="n"/>
      <c r="C13" s="437" t="n"/>
      <c r="D13" s="437" t="n"/>
      <c r="E13" s="859" t="n"/>
      <c r="F13" s="923" t="inlineStr">
        <is>
          <t>During the job; at the start of each shift, double-check that the correct railcar is being used. Ensure that the correct information of Car #, Comp and R # is recorded on the Event Log.  This must be completed within the first 60 minutes of taking the floor.</t>
        </is>
      </c>
      <c r="G13" s="437" t="n"/>
      <c r="H13" s="437" t="n"/>
      <c r="I13" s="437" t="n"/>
      <c r="J13" s="437" t="n"/>
      <c r="K13" s="437" t="n"/>
      <c r="L13" s="859" t="n"/>
    </row>
    <row r="14" ht="15" customFormat="1" customHeight="1" s="248">
      <c r="A14" s="474" t="n"/>
      <c r="B14" s="441" t="n"/>
      <c r="C14" s="441" t="n"/>
      <c r="D14" s="441" t="n"/>
      <c r="E14" s="442" t="n"/>
      <c r="F14" s="854" t="n"/>
      <c r="L14" s="528" t="n"/>
    </row>
    <row r="15" ht="15" customFormat="1" customHeight="1" s="248">
      <c r="A15" s="926" t="inlineStr">
        <is>
          <t xml:space="preserve">Remember                                                                           That all Mezzanine material loaded                                              must match each individual feeder log                                             Feeder # 8,                                                                        Notify labs (QC and Color) when changing out blends during a production run </t>
        </is>
      </c>
      <c r="B15" s="437" t="n"/>
      <c r="C15" s="437" t="n"/>
      <c r="D15" s="437" t="n"/>
      <c r="E15" s="859" t="n"/>
      <c r="F15" s="474" t="n"/>
      <c r="G15" s="441" t="n"/>
      <c r="H15" s="441" t="n"/>
      <c r="I15" s="441" t="n"/>
      <c r="J15" s="441" t="n"/>
      <c r="K15" s="441" t="n"/>
      <c r="L15" s="442" t="n"/>
    </row>
    <row r="16" ht="15" customFormat="1" customHeight="1" s="248">
      <c r="A16" s="854" t="n"/>
      <c r="E16" s="528" t="n"/>
      <c r="F16" s="927" t="inlineStr">
        <is>
          <t>During the job; after switching a compartment or railcar, record Car #, Comp.,R #, totalizer value for that feeder and time of the new compartment or railcar on the Event Log.  Have another employee double-check that the switch is correct.  That employee is to initial in the Double Check column.  This must be completed within 60 minutes of the switch.</t>
        </is>
      </c>
      <c r="G16" s="437" t="n"/>
      <c r="H16" s="437" t="n"/>
      <c r="I16" s="437" t="n"/>
      <c r="J16" s="437" t="n"/>
      <c r="K16" s="437" t="n"/>
      <c r="L16" s="859" t="n"/>
    </row>
    <row r="17" ht="15" customFormat="1" customHeight="1" s="248">
      <c r="A17" s="854" t="n"/>
      <c r="E17" s="528" t="n"/>
      <c r="F17" s="854" t="n"/>
      <c r="L17" s="528" t="n"/>
    </row>
    <row r="18" ht="27.75" customFormat="1" customHeight="1" s="248">
      <c r="A18" s="474" t="n"/>
      <c r="B18" s="441" t="n"/>
      <c r="C18" s="441" t="n"/>
      <c r="D18" s="441" t="n"/>
      <c r="E18" s="442" t="n"/>
      <c r="F18" s="854" t="n"/>
      <c r="L18" s="528" t="n"/>
    </row>
    <row r="19" ht="30" customFormat="1" customHeight="1" s="248">
      <c r="A19" s="265" t="inlineStr">
        <is>
          <t>Staged Receiver Numbers for the Job</t>
        </is>
      </c>
      <c r="B19" s="266" t="n"/>
      <c r="C19" s="266" t="n"/>
      <c r="D19" s="266" t="n"/>
      <c r="E19" s="267" t="n"/>
      <c r="F19" s="267" t="n"/>
      <c r="G19" s="585" t="inlineStr">
        <is>
          <t>Type:     Box/Crate          R/C            Blend        Supersack</t>
        </is>
      </c>
      <c r="H19" s="267" t="n"/>
      <c r="I19" s="267" t="n"/>
      <c r="J19" s="267" t="n"/>
      <c r="K19" s="267" t="n"/>
      <c r="L19" s="586" t="n"/>
    </row>
    <row r="20">
      <c r="A20" s="928" t="n"/>
      <c r="B20" s="859" t="n"/>
      <c r="C20" s="928" t="n"/>
      <c r="D20" s="859" t="n"/>
      <c r="E20" s="929" t="n"/>
      <c r="F20" s="437" t="n"/>
      <c r="G20" s="930" t="n"/>
      <c r="H20" s="528" t="n"/>
      <c r="I20" s="931" t="n"/>
      <c r="J20" s="528" t="n"/>
      <c r="K20" s="931" t="n"/>
      <c r="L20" s="528" t="n"/>
    </row>
    <row r="21">
      <c r="A21" s="474" t="n"/>
      <c r="B21" s="442" t="n"/>
      <c r="C21" s="474" t="n"/>
      <c r="D21" s="442" t="n"/>
      <c r="E21" s="474" t="n"/>
      <c r="F21" s="441" t="n"/>
      <c r="G21" s="932" t="n"/>
      <c r="H21" s="442" t="n"/>
      <c r="I21" s="474" t="n"/>
      <c r="J21" s="442" t="n"/>
      <c r="K21" s="474" t="n"/>
      <c r="L21" s="442" t="n"/>
    </row>
    <row r="22" ht="0.75" customHeight="1">
      <c r="A22" s="928" t="inlineStr">
        <is>
          <t xml:space="preserve"> </t>
        </is>
      </c>
      <c r="B22" s="859" t="n"/>
      <c r="C22" s="928" t="inlineStr">
        <is>
          <t xml:space="preserve"> </t>
        </is>
      </c>
      <c r="D22" s="859" t="n"/>
      <c r="E22" s="929" t="inlineStr">
        <is>
          <t xml:space="preserve"> </t>
        </is>
      </c>
      <c r="F22" s="437" t="n"/>
      <c r="G22" s="933" t="inlineStr">
        <is>
          <t xml:space="preserve"> </t>
        </is>
      </c>
      <c r="H22" s="859" t="n"/>
      <c r="I22" s="928" t="inlineStr">
        <is>
          <t xml:space="preserve"> </t>
        </is>
      </c>
      <c r="J22" s="859" t="n"/>
      <c r="K22" s="928" t="inlineStr">
        <is>
          <t xml:space="preserve"> </t>
        </is>
      </c>
      <c r="L22" s="859" t="n"/>
    </row>
    <row r="23" hidden="1">
      <c r="A23" s="474" t="n"/>
      <c r="B23" s="442" t="n"/>
      <c r="C23" s="474" t="n"/>
      <c r="D23" s="442" t="n"/>
      <c r="E23" s="474" t="n"/>
      <c r="F23" s="441" t="n"/>
      <c r="G23" s="932" t="n"/>
      <c r="H23" s="442" t="n"/>
      <c r="I23" s="474" t="n"/>
      <c r="J23" s="442" t="n"/>
      <c r="K23" s="474" t="n"/>
      <c r="L23" s="442" t="n"/>
    </row>
    <row r="24" ht="12.75" customHeight="1">
      <c r="A24" s="934" t="inlineStr">
        <is>
          <t>Team / Date</t>
        </is>
      </c>
      <c r="B24" s="859" t="n"/>
      <c r="C24" s="935" t="inlineStr">
        <is>
          <t>Time/initials</t>
        </is>
      </c>
      <c r="D24" s="859" t="n"/>
      <c r="E24" s="936" t="inlineStr">
        <is>
          <t>R# / Bowl #</t>
        </is>
      </c>
      <c r="F24" s="859" t="n"/>
      <c r="G24" s="934" t="inlineStr">
        <is>
          <t>Team / Date</t>
        </is>
      </c>
      <c r="H24" s="859" t="n"/>
      <c r="I24" s="935" t="inlineStr">
        <is>
          <t>Time/initials</t>
        </is>
      </c>
      <c r="J24" s="859" t="n"/>
      <c r="K24" s="936" t="inlineStr">
        <is>
          <t>R# / Bowl #</t>
        </is>
      </c>
      <c r="L24" s="859" t="n"/>
    </row>
    <row r="25" ht="12.75" customHeight="1">
      <c r="A25" s="932" t="n"/>
      <c r="B25" s="442" t="n"/>
      <c r="C25" s="474" t="n"/>
      <c r="D25" s="442" t="n"/>
      <c r="E25" s="474" t="n"/>
      <c r="F25" s="442" t="n"/>
      <c r="G25" s="932" t="n"/>
      <c r="H25" s="442" t="n"/>
      <c r="I25" s="474" t="n"/>
      <c r="J25" s="442" t="n"/>
      <c r="K25" s="474" t="n"/>
      <c r="L25" s="442" t="n"/>
    </row>
    <row r="26">
      <c r="A26" s="928" t="inlineStr">
        <is>
          <t xml:space="preserve"> </t>
        </is>
      </c>
      <c r="B26" s="859" t="n"/>
      <c r="C26" s="928" t="inlineStr">
        <is>
          <t xml:space="preserve"> </t>
        </is>
      </c>
      <c r="D26" s="859" t="n"/>
      <c r="E26" s="929" t="inlineStr">
        <is>
          <t xml:space="preserve"> </t>
        </is>
      </c>
      <c r="F26" s="437" t="n"/>
      <c r="G26" s="933" t="inlineStr">
        <is>
          <t xml:space="preserve"> </t>
        </is>
      </c>
      <c r="H26" s="859" t="n"/>
      <c r="I26" s="928" t="inlineStr">
        <is>
          <t xml:space="preserve"> </t>
        </is>
      </c>
      <c r="J26" s="859" t="n"/>
      <c r="K26" s="928" t="inlineStr">
        <is>
          <t xml:space="preserve"> </t>
        </is>
      </c>
      <c r="L26" s="859" t="n"/>
    </row>
    <row r="27">
      <c r="A27" s="474" t="n"/>
      <c r="B27" s="442" t="n"/>
      <c r="C27" s="474" t="n"/>
      <c r="D27" s="442" t="n"/>
      <c r="E27" s="474" t="n"/>
      <c r="F27" s="441" t="n"/>
      <c r="G27" s="932" t="n"/>
      <c r="H27" s="442" t="n"/>
      <c r="I27" s="474" t="n"/>
      <c r="J27" s="442" t="n"/>
      <c r="K27" s="474" t="n"/>
      <c r="L27" s="442" t="n"/>
    </row>
    <row r="28">
      <c r="A28" s="928" t="inlineStr">
        <is>
          <t xml:space="preserve"> </t>
        </is>
      </c>
      <c r="B28" s="859" t="n"/>
      <c r="C28" s="928" t="inlineStr">
        <is>
          <t xml:space="preserve"> </t>
        </is>
      </c>
      <c r="D28" s="859" t="n"/>
      <c r="E28" s="929" t="inlineStr">
        <is>
          <t xml:space="preserve"> </t>
        </is>
      </c>
      <c r="F28" s="437" t="n"/>
      <c r="G28" s="933" t="inlineStr">
        <is>
          <t xml:space="preserve"> </t>
        </is>
      </c>
      <c r="H28" s="859" t="n"/>
      <c r="I28" s="928" t="inlineStr">
        <is>
          <t xml:space="preserve"> </t>
        </is>
      </c>
      <c r="J28" s="859" t="n"/>
      <c r="K28" s="928" t="inlineStr">
        <is>
          <t xml:space="preserve"> </t>
        </is>
      </c>
      <c r="L28" s="859" t="n"/>
    </row>
    <row r="29">
      <c r="A29" s="474" t="n"/>
      <c r="B29" s="442" t="n"/>
      <c r="C29" s="474" t="n"/>
      <c r="D29" s="442" t="n"/>
      <c r="E29" s="474" t="n"/>
      <c r="F29" s="441" t="n"/>
      <c r="G29" s="932" t="n"/>
      <c r="H29" s="442" t="n"/>
      <c r="I29" s="474" t="n"/>
      <c r="J29" s="442" t="n"/>
      <c r="K29" s="474" t="n"/>
      <c r="L29" s="442" t="n"/>
    </row>
    <row r="30">
      <c r="A30" s="928" t="inlineStr">
        <is>
          <t xml:space="preserve"> </t>
        </is>
      </c>
      <c r="B30" s="859" t="n"/>
      <c r="C30" s="928" t="inlineStr">
        <is>
          <t xml:space="preserve"> </t>
        </is>
      </c>
      <c r="D30" s="859" t="n"/>
      <c r="E30" s="929" t="inlineStr">
        <is>
          <t xml:space="preserve"> </t>
        </is>
      </c>
      <c r="F30" s="437" t="n"/>
      <c r="G30" s="933" t="inlineStr">
        <is>
          <t xml:space="preserve"> </t>
        </is>
      </c>
      <c r="H30" s="859" t="n"/>
      <c r="I30" s="928" t="inlineStr">
        <is>
          <t xml:space="preserve"> </t>
        </is>
      </c>
      <c r="J30" s="859" t="n"/>
      <c r="K30" s="928" t="inlineStr">
        <is>
          <t xml:space="preserve"> </t>
        </is>
      </c>
      <c r="L30" s="859" t="n"/>
    </row>
    <row r="31">
      <c r="A31" s="474" t="n"/>
      <c r="B31" s="442" t="n"/>
      <c r="C31" s="474" t="n"/>
      <c r="D31" s="442" t="n"/>
      <c r="E31" s="474" t="n"/>
      <c r="F31" s="441" t="n"/>
      <c r="G31" s="932" t="n"/>
      <c r="H31" s="442" t="n"/>
      <c r="I31" s="474" t="n"/>
      <c r="J31" s="442" t="n"/>
      <c r="K31" s="474" t="n"/>
      <c r="L31" s="442" t="n"/>
    </row>
    <row r="32">
      <c r="A32" s="928" t="inlineStr">
        <is>
          <t xml:space="preserve"> </t>
        </is>
      </c>
      <c r="B32" s="859" t="n"/>
      <c r="C32" s="928" t="inlineStr">
        <is>
          <t xml:space="preserve"> </t>
        </is>
      </c>
      <c r="D32" s="859" t="n"/>
      <c r="E32" s="929" t="inlineStr">
        <is>
          <t xml:space="preserve"> </t>
        </is>
      </c>
      <c r="F32" s="437" t="n"/>
      <c r="G32" s="933" t="inlineStr">
        <is>
          <t xml:space="preserve"> </t>
        </is>
      </c>
      <c r="H32" s="859" t="n"/>
      <c r="I32" s="928" t="inlineStr">
        <is>
          <t xml:space="preserve"> </t>
        </is>
      </c>
      <c r="J32" s="859" t="n"/>
      <c r="K32" s="928" t="inlineStr">
        <is>
          <t xml:space="preserve"> </t>
        </is>
      </c>
      <c r="L32" s="859" t="n"/>
    </row>
    <row r="33">
      <c r="A33" s="474" t="n"/>
      <c r="B33" s="442" t="n"/>
      <c r="C33" s="474" t="n"/>
      <c r="D33" s="442" t="n"/>
      <c r="E33" s="474" t="n"/>
      <c r="F33" s="441" t="n"/>
      <c r="G33" s="932" t="n"/>
      <c r="H33" s="442" t="n"/>
      <c r="I33" s="474" t="n"/>
      <c r="J33" s="442" t="n"/>
      <c r="K33" s="474" t="n"/>
      <c r="L33" s="442" t="n"/>
    </row>
    <row r="34">
      <c r="A34" s="928" t="inlineStr">
        <is>
          <t xml:space="preserve"> </t>
        </is>
      </c>
      <c r="B34" s="859" t="n"/>
      <c r="C34" s="928" t="inlineStr">
        <is>
          <t xml:space="preserve"> </t>
        </is>
      </c>
      <c r="D34" s="859" t="n"/>
      <c r="E34" s="929" t="inlineStr">
        <is>
          <t xml:space="preserve"> </t>
        </is>
      </c>
      <c r="F34" s="437" t="n"/>
      <c r="G34" s="933" t="inlineStr">
        <is>
          <t xml:space="preserve"> </t>
        </is>
      </c>
      <c r="H34" s="859" t="n"/>
      <c r="I34" s="928" t="inlineStr">
        <is>
          <t xml:space="preserve"> </t>
        </is>
      </c>
      <c r="J34" s="859" t="n"/>
      <c r="K34" s="928" t="inlineStr">
        <is>
          <t xml:space="preserve"> </t>
        </is>
      </c>
      <c r="L34" s="859" t="n"/>
    </row>
    <row r="35">
      <c r="A35" s="474" t="n"/>
      <c r="B35" s="442" t="n"/>
      <c r="C35" s="474" t="n"/>
      <c r="D35" s="442" t="n"/>
      <c r="E35" s="474" t="n"/>
      <c r="F35" s="441" t="n"/>
      <c r="G35" s="932" t="n"/>
      <c r="H35" s="442" t="n"/>
      <c r="I35" s="474" t="n"/>
      <c r="J35" s="442" t="n"/>
      <c r="K35" s="474" t="n"/>
      <c r="L35" s="442" t="n"/>
    </row>
    <row r="36">
      <c r="A36" s="928" t="inlineStr">
        <is>
          <t xml:space="preserve"> </t>
        </is>
      </c>
      <c r="B36" s="859" t="n"/>
      <c r="C36" s="928" t="inlineStr">
        <is>
          <t xml:space="preserve"> </t>
        </is>
      </c>
      <c r="D36" s="859" t="n"/>
      <c r="E36" s="929" t="inlineStr">
        <is>
          <t xml:space="preserve"> </t>
        </is>
      </c>
      <c r="F36" s="437" t="n"/>
      <c r="G36" s="933" t="inlineStr">
        <is>
          <t xml:space="preserve"> </t>
        </is>
      </c>
      <c r="H36" s="859" t="n"/>
      <c r="I36" s="928" t="inlineStr">
        <is>
          <t xml:space="preserve"> </t>
        </is>
      </c>
      <c r="J36" s="859" t="n"/>
      <c r="K36" s="928" t="inlineStr">
        <is>
          <t xml:space="preserve"> </t>
        </is>
      </c>
      <c r="L36" s="859" t="n"/>
    </row>
    <row r="37">
      <c r="A37" s="474" t="n"/>
      <c r="B37" s="442" t="n"/>
      <c r="C37" s="474" t="n"/>
      <c r="D37" s="442" t="n"/>
      <c r="E37" s="474" t="n"/>
      <c r="F37" s="441" t="n"/>
      <c r="G37" s="932" t="n"/>
      <c r="H37" s="442" t="n"/>
      <c r="I37" s="474" t="n"/>
      <c r="J37" s="442" t="n"/>
      <c r="K37" s="474" t="n"/>
      <c r="L37" s="442" t="n"/>
    </row>
    <row r="38">
      <c r="A38" s="928" t="inlineStr">
        <is>
          <t xml:space="preserve"> </t>
        </is>
      </c>
      <c r="B38" s="859" t="n"/>
      <c r="C38" s="928" t="inlineStr">
        <is>
          <t xml:space="preserve"> </t>
        </is>
      </c>
      <c r="D38" s="859" t="n"/>
      <c r="E38" s="929" t="inlineStr">
        <is>
          <t xml:space="preserve"> </t>
        </is>
      </c>
      <c r="F38" s="437" t="n"/>
      <c r="G38" s="933" t="inlineStr">
        <is>
          <t xml:space="preserve"> </t>
        </is>
      </c>
      <c r="H38" s="859" t="n"/>
      <c r="I38" s="928" t="inlineStr">
        <is>
          <t xml:space="preserve"> </t>
        </is>
      </c>
      <c r="J38" s="859" t="n"/>
      <c r="K38" s="928" t="inlineStr">
        <is>
          <t xml:space="preserve"> </t>
        </is>
      </c>
      <c r="L38" s="859" t="n"/>
    </row>
    <row r="39">
      <c r="A39" s="474" t="n"/>
      <c r="B39" s="442" t="n"/>
      <c r="C39" s="474" t="n"/>
      <c r="D39" s="442" t="n"/>
      <c r="E39" s="474" t="n"/>
      <c r="F39" s="441" t="n"/>
      <c r="G39" s="932" t="n"/>
      <c r="H39" s="442" t="n"/>
      <c r="I39" s="474" t="n"/>
      <c r="J39" s="442" t="n"/>
      <c r="K39" s="474" t="n"/>
      <c r="L39" s="442" t="n"/>
    </row>
    <row r="40">
      <c r="A40" s="928" t="inlineStr">
        <is>
          <t xml:space="preserve"> </t>
        </is>
      </c>
      <c r="B40" s="859" t="n"/>
      <c r="C40" s="928" t="inlineStr">
        <is>
          <t xml:space="preserve"> </t>
        </is>
      </c>
      <c r="D40" s="859" t="n"/>
      <c r="E40" s="929" t="inlineStr">
        <is>
          <t xml:space="preserve"> </t>
        </is>
      </c>
      <c r="F40" s="437" t="n"/>
      <c r="G40" s="933" t="inlineStr">
        <is>
          <t xml:space="preserve"> </t>
        </is>
      </c>
      <c r="H40" s="859" t="n"/>
      <c r="I40" s="928" t="inlineStr">
        <is>
          <t xml:space="preserve"> </t>
        </is>
      </c>
      <c r="J40" s="859" t="n"/>
      <c r="K40" s="928" t="inlineStr">
        <is>
          <t xml:space="preserve"> </t>
        </is>
      </c>
      <c r="L40" s="859" t="n"/>
    </row>
    <row r="41">
      <c r="A41" s="474" t="n"/>
      <c r="B41" s="442" t="n"/>
      <c r="C41" s="474" t="n"/>
      <c r="D41" s="442" t="n"/>
      <c r="E41" s="474" t="n"/>
      <c r="F41" s="441" t="n"/>
      <c r="G41" s="932" t="n"/>
      <c r="H41" s="442" t="n"/>
      <c r="I41" s="474" t="n"/>
      <c r="J41" s="442" t="n"/>
      <c r="K41" s="474" t="n"/>
      <c r="L41" s="442" t="n"/>
    </row>
    <row r="42">
      <c r="A42" s="928" t="inlineStr">
        <is>
          <t xml:space="preserve"> </t>
        </is>
      </c>
      <c r="B42" s="859" t="n"/>
      <c r="C42" s="928" t="inlineStr">
        <is>
          <t xml:space="preserve"> </t>
        </is>
      </c>
      <c r="D42" s="859" t="n"/>
      <c r="E42" s="929" t="inlineStr">
        <is>
          <t xml:space="preserve"> </t>
        </is>
      </c>
      <c r="F42" s="437" t="n"/>
      <c r="G42" s="933" t="inlineStr">
        <is>
          <t xml:space="preserve"> </t>
        </is>
      </c>
      <c r="H42" s="859" t="n"/>
      <c r="I42" s="928" t="inlineStr">
        <is>
          <t xml:space="preserve"> </t>
        </is>
      </c>
      <c r="J42" s="859" t="n"/>
      <c r="K42" s="928" t="inlineStr">
        <is>
          <t xml:space="preserve"> </t>
        </is>
      </c>
      <c r="L42" s="859" t="n"/>
    </row>
    <row r="43">
      <c r="A43" s="474" t="n"/>
      <c r="B43" s="442" t="n"/>
      <c r="C43" s="474" t="n"/>
      <c r="D43" s="442" t="n"/>
      <c r="E43" s="474" t="n"/>
      <c r="F43" s="441" t="n"/>
      <c r="G43" s="932" t="n"/>
      <c r="H43" s="442" t="n"/>
      <c r="I43" s="474" t="n"/>
      <c r="J43" s="442" t="n"/>
      <c r="K43" s="474" t="n"/>
      <c r="L43" s="442" t="n"/>
    </row>
    <row r="44">
      <c r="A44" s="928" t="inlineStr">
        <is>
          <t xml:space="preserve"> </t>
        </is>
      </c>
      <c r="B44" s="859" t="n"/>
      <c r="C44" s="928" t="inlineStr">
        <is>
          <t xml:space="preserve"> </t>
        </is>
      </c>
      <c r="D44" s="859" t="n"/>
      <c r="E44" s="929" t="inlineStr">
        <is>
          <t xml:space="preserve"> </t>
        </is>
      </c>
      <c r="F44" s="437" t="n"/>
      <c r="G44" s="933" t="inlineStr">
        <is>
          <t xml:space="preserve"> </t>
        </is>
      </c>
      <c r="H44" s="859" t="n"/>
      <c r="I44" s="928" t="inlineStr">
        <is>
          <t xml:space="preserve"> </t>
        </is>
      </c>
      <c r="J44" s="859" t="n"/>
      <c r="K44" s="928" t="inlineStr">
        <is>
          <t xml:space="preserve"> </t>
        </is>
      </c>
      <c r="L44" s="859" t="n"/>
    </row>
    <row r="45">
      <c r="A45" s="474" t="n"/>
      <c r="B45" s="442" t="n"/>
      <c r="C45" s="474" t="n"/>
      <c r="D45" s="442" t="n"/>
      <c r="E45" s="474" t="n"/>
      <c r="F45" s="441" t="n"/>
      <c r="G45" s="932" t="n"/>
      <c r="H45" s="442" t="n"/>
      <c r="I45" s="474" t="n"/>
      <c r="J45" s="442" t="n"/>
      <c r="K45" s="474" t="n"/>
      <c r="L45" s="442" t="n"/>
    </row>
    <row r="46">
      <c r="A46" s="928" t="inlineStr">
        <is>
          <t xml:space="preserve"> </t>
        </is>
      </c>
      <c r="B46" s="859" t="n"/>
      <c r="C46" s="928" t="inlineStr">
        <is>
          <t xml:space="preserve"> </t>
        </is>
      </c>
      <c r="D46" s="859" t="n"/>
      <c r="E46" s="929" t="inlineStr">
        <is>
          <t xml:space="preserve"> </t>
        </is>
      </c>
      <c r="F46" s="437" t="n"/>
      <c r="G46" s="933" t="inlineStr">
        <is>
          <t xml:space="preserve"> </t>
        </is>
      </c>
      <c r="H46" s="859" t="n"/>
      <c r="I46" s="928" t="inlineStr">
        <is>
          <t xml:space="preserve"> </t>
        </is>
      </c>
      <c r="J46" s="859" t="n"/>
      <c r="K46" s="928" t="inlineStr">
        <is>
          <t xml:space="preserve"> </t>
        </is>
      </c>
      <c r="L46" s="859" t="n"/>
    </row>
    <row r="47">
      <c r="A47" s="474" t="n"/>
      <c r="B47" s="442" t="n"/>
      <c r="C47" s="474" t="n"/>
      <c r="D47" s="442" t="n"/>
      <c r="E47" s="474" t="n"/>
      <c r="F47" s="441" t="n"/>
      <c r="G47" s="932" t="n"/>
      <c r="H47" s="442" t="n"/>
      <c r="I47" s="474" t="n"/>
      <c r="J47" s="442" t="n"/>
      <c r="K47" s="474" t="n"/>
      <c r="L47" s="442" t="n"/>
    </row>
    <row r="48">
      <c r="A48" s="928" t="inlineStr">
        <is>
          <t xml:space="preserve"> </t>
        </is>
      </c>
      <c r="B48" s="859" t="n"/>
      <c r="C48" s="928" t="inlineStr">
        <is>
          <t xml:space="preserve"> </t>
        </is>
      </c>
      <c r="D48" s="859" t="n"/>
      <c r="E48" s="929" t="inlineStr">
        <is>
          <t xml:space="preserve"> </t>
        </is>
      </c>
      <c r="F48" s="437" t="n"/>
      <c r="G48" s="933" t="inlineStr">
        <is>
          <t xml:space="preserve"> </t>
        </is>
      </c>
      <c r="H48" s="859" t="n"/>
      <c r="I48" s="928" t="inlineStr">
        <is>
          <t xml:space="preserve"> </t>
        </is>
      </c>
      <c r="J48" s="859" t="n"/>
      <c r="K48" s="928" t="inlineStr">
        <is>
          <t xml:space="preserve"> </t>
        </is>
      </c>
      <c r="L48" s="859" t="n"/>
    </row>
    <row r="49">
      <c r="A49" s="474" t="n"/>
      <c r="B49" s="442" t="n"/>
      <c r="C49" s="474" t="n"/>
      <c r="D49" s="442" t="n"/>
      <c r="E49" s="474" t="n"/>
      <c r="F49" s="441" t="n"/>
      <c r="G49" s="932" t="n"/>
      <c r="H49" s="442" t="n"/>
      <c r="I49" s="474" t="n"/>
      <c r="J49" s="442" t="n"/>
      <c r="K49" s="474" t="n"/>
      <c r="L49" s="442" t="n"/>
    </row>
    <row r="50">
      <c r="A50" s="928" t="inlineStr">
        <is>
          <t xml:space="preserve"> </t>
        </is>
      </c>
      <c r="B50" s="859" t="n"/>
      <c r="C50" s="928" t="inlineStr">
        <is>
          <t xml:space="preserve"> </t>
        </is>
      </c>
      <c r="D50" s="859" t="n"/>
      <c r="E50" s="929" t="inlineStr">
        <is>
          <t xml:space="preserve"> </t>
        </is>
      </c>
      <c r="F50" s="437" t="n"/>
      <c r="G50" s="933" t="inlineStr">
        <is>
          <t xml:space="preserve"> </t>
        </is>
      </c>
      <c r="H50" s="859" t="n"/>
      <c r="I50" s="928" t="inlineStr">
        <is>
          <t xml:space="preserve"> </t>
        </is>
      </c>
      <c r="J50" s="859" t="n"/>
      <c r="K50" s="928" t="inlineStr">
        <is>
          <t xml:space="preserve"> </t>
        </is>
      </c>
      <c r="L50" s="859" t="n"/>
    </row>
    <row r="51">
      <c r="A51" s="474" t="n"/>
      <c r="B51" s="442" t="n"/>
      <c r="C51" s="474" t="n"/>
      <c r="D51" s="442" t="n"/>
      <c r="E51" s="474" t="n"/>
      <c r="F51" s="441" t="n"/>
      <c r="G51" s="932" t="n"/>
      <c r="H51" s="442" t="n"/>
      <c r="I51" s="474" t="n"/>
      <c r="J51" s="442" t="n"/>
      <c r="K51" s="474" t="n"/>
      <c r="L51" s="442" t="n"/>
    </row>
    <row r="52">
      <c r="A52" s="928" t="inlineStr">
        <is>
          <t xml:space="preserve"> </t>
        </is>
      </c>
      <c r="B52" s="859" t="n"/>
      <c r="C52" s="928" t="inlineStr">
        <is>
          <t xml:space="preserve"> </t>
        </is>
      </c>
      <c r="D52" s="859" t="n"/>
      <c r="E52" s="929" t="inlineStr">
        <is>
          <t xml:space="preserve"> </t>
        </is>
      </c>
      <c r="F52" s="437" t="n"/>
      <c r="G52" s="933" t="inlineStr">
        <is>
          <t xml:space="preserve"> </t>
        </is>
      </c>
      <c r="H52" s="859" t="n"/>
      <c r="I52" s="928" t="inlineStr">
        <is>
          <t xml:space="preserve"> </t>
        </is>
      </c>
      <c r="J52" s="859" t="n"/>
      <c r="K52" s="928" t="inlineStr">
        <is>
          <t xml:space="preserve"> </t>
        </is>
      </c>
      <c r="L52" s="859" t="n"/>
    </row>
    <row r="53">
      <c r="A53" s="474" t="n"/>
      <c r="B53" s="442" t="n"/>
      <c r="C53" s="474" t="n"/>
      <c r="D53" s="442" t="n"/>
      <c r="E53" s="474" t="n"/>
      <c r="F53" s="441" t="n"/>
      <c r="G53" s="932" t="n"/>
      <c r="H53" s="442" t="n"/>
      <c r="I53" s="474" t="n"/>
      <c r="J53" s="442" t="n"/>
      <c r="K53" s="474" t="n"/>
      <c r="L53" s="442" t="n"/>
    </row>
  </sheetData>
  <sheetProtection selectLockedCells="0" selectUnlockedCells="0" sheet="1" objects="1" insertRows="1" insertHyperlinks="1" autoFilter="1" scenarios="1" formatColumns="1" deleteColumns="1" insertColumns="1" pivotTables="1" deleteRows="1" formatCells="1" formatRows="1" sort="1"/>
  <mergeCells count="128">
    <mergeCell ref="A52:B53"/>
    <mergeCell ref="C52:D53"/>
    <mergeCell ref="E52:F53"/>
    <mergeCell ref="G52:H53"/>
    <mergeCell ref="I52:J53"/>
    <mergeCell ref="K52:L53"/>
    <mergeCell ref="A50:B51"/>
    <mergeCell ref="C50:D51"/>
    <mergeCell ref="E50:F51"/>
    <mergeCell ref="G50:H51"/>
    <mergeCell ref="I50:J51"/>
    <mergeCell ref="K50:L51"/>
    <mergeCell ref="A48:B49"/>
    <mergeCell ref="C48:D49"/>
    <mergeCell ref="E48:F49"/>
    <mergeCell ref="G48:H49"/>
    <mergeCell ref="I48:J49"/>
    <mergeCell ref="K48:L49"/>
    <mergeCell ref="A46:B47"/>
    <mergeCell ref="C46:D47"/>
    <mergeCell ref="E46:F47"/>
    <mergeCell ref="G46:H47"/>
    <mergeCell ref="I46:J47"/>
    <mergeCell ref="K46:L47"/>
    <mergeCell ref="A44:B45"/>
    <mergeCell ref="C44:D45"/>
    <mergeCell ref="E44:F45"/>
    <mergeCell ref="G44:H45"/>
    <mergeCell ref="I44:J45"/>
    <mergeCell ref="K44:L45"/>
    <mergeCell ref="A42:B43"/>
    <mergeCell ref="C42:D43"/>
    <mergeCell ref="E42:F43"/>
    <mergeCell ref="G42:H43"/>
    <mergeCell ref="I42:J43"/>
    <mergeCell ref="K42:L43"/>
    <mergeCell ref="A40:B41"/>
    <mergeCell ref="C40:D41"/>
    <mergeCell ref="E40:F41"/>
    <mergeCell ref="G40:H41"/>
    <mergeCell ref="I40:J41"/>
    <mergeCell ref="K40:L41"/>
    <mergeCell ref="A38:B39"/>
    <mergeCell ref="C38:D39"/>
    <mergeCell ref="E38:F39"/>
    <mergeCell ref="G38:H39"/>
    <mergeCell ref="I38:J39"/>
    <mergeCell ref="K38:L39"/>
    <mergeCell ref="A36:B37"/>
    <mergeCell ref="C36:D37"/>
    <mergeCell ref="E36:F37"/>
    <mergeCell ref="G36:H37"/>
    <mergeCell ref="I36:J37"/>
    <mergeCell ref="K36:L37"/>
    <mergeCell ref="A34:B35"/>
    <mergeCell ref="C34:D35"/>
    <mergeCell ref="E34:F35"/>
    <mergeCell ref="G34:H35"/>
    <mergeCell ref="I34:J35"/>
    <mergeCell ref="K34:L35"/>
    <mergeCell ref="A32:B33"/>
    <mergeCell ref="C32:D33"/>
    <mergeCell ref="E32:F33"/>
    <mergeCell ref="G32:H33"/>
    <mergeCell ref="I32:J33"/>
    <mergeCell ref="K32:L33"/>
    <mergeCell ref="A30:B31"/>
    <mergeCell ref="C30:D31"/>
    <mergeCell ref="E30:F31"/>
    <mergeCell ref="G30:H31"/>
    <mergeCell ref="I30:J31"/>
    <mergeCell ref="K30:L31"/>
    <mergeCell ref="A28:B29"/>
    <mergeCell ref="C28:D29"/>
    <mergeCell ref="E28:F29"/>
    <mergeCell ref="G28:H29"/>
    <mergeCell ref="I28:J29"/>
    <mergeCell ref="K28:L29"/>
    <mergeCell ref="A26:B27"/>
    <mergeCell ref="C26:D27"/>
    <mergeCell ref="E26:F27"/>
    <mergeCell ref="G26:H27"/>
    <mergeCell ref="I26:J27"/>
    <mergeCell ref="K26:L27"/>
    <mergeCell ref="A24:B25"/>
    <mergeCell ref="C24:D25"/>
    <mergeCell ref="E24:F25"/>
    <mergeCell ref="G24:H25"/>
    <mergeCell ref="I24:J25"/>
    <mergeCell ref="K24:L25"/>
    <mergeCell ref="A22:B23"/>
    <mergeCell ref="C22:D23"/>
    <mergeCell ref="E22:F23"/>
    <mergeCell ref="G22:H23"/>
    <mergeCell ref="I22:J23"/>
    <mergeCell ref="K22:L23"/>
    <mergeCell ref="A13:E14"/>
    <mergeCell ref="F13:L15"/>
    <mergeCell ref="A15:E18"/>
    <mergeCell ref="F16:L18"/>
    <mergeCell ref="A20:B21"/>
    <mergeCell ref="C20:D21"/>
    <mergeCell ref="E20:F21"/>
    <mergeCell ref="G20:H21"/>
    <mergeCell ref="I20:J21"/>
    <mergeCell ref="K20:L21"/>
    <mergeCell ref="A9:E11"/>
    <mergeCell ref="F9:L10"/>
    <mergeCell ref="F11:L12"/>
    <mergeCell ref="A12:E12"/>
    <mergeCell ref="A4:B4"/>
    <mergeCell ref="C4:G4"/>
    <mergeCell ref="H4:I4"/>
    <mergeCell ref="J4:L4"/>
    <mergeCell ref="A5:B5"/>
    <mergeCell ref="D5:E5"/>
    <mergeCell ref="F5:G5"/>
    <mergeCell ref="H5:I5"/>
    <mergeCell ref="J5:L5"/>
    <mergeCell ref="A1:A2"/>
    <mergeCell ref="B1:D1"/>
    <mergeCell ref="F1:I1"/>
    <mergeCell ref="J1:L1"/>
    <mergeCell ref="B2:D2"/>
    <mergeCell ref="E2:F2"/>
    <mergeCell ref="G2:L2"/>
    <mergeCell ref="A8:E8"/>
    <mergeCell ref="F8:L8"/>
  </mergeCells>
  <pageMargins left="0.33" right="0" top="0.3" bottom="0.3" header="0.25" footer="0.25"/>
  <pageSetup orientation="portrait" scale="89"/>
  <headerFooter alignWithMargins="0">
    <oddHeader/>
    <oddFooter>&amp;LNETWORK ADDRESS:  MPCI data\Forms\_x000a_Production_ Operation forms&amp;C                           &amp;RRETENTION REQUIREMENT:  Maintained with the _x000a_Job Packet for 3 years</oddFooter>
    <evenHeader/>
    <evenFooter/>
    <firstHeader/>
    <firstFooter/>
  </headerFooter>
</worksheet>
</file>

<file path=xl/worksheets/sheet21.xml><?xml version="1.0" encoding="utf-8"?>
<worksheet xmlns="http://schemas.openxmlformats.org/spreadsheetml/2006/main">
  <sheetPr codeName="Sheet21">
    <outlinePr summaryBelow="1" summaryRight="1"/>
    <pageSetUpPr fitToPage="1"/>
  </sheetPr>
  <dimension ref="A1:CC75"/>
  <sheetViews>
    <sheetView showGridLines="0" view="pageBreakPreview" zoomScale="115" zoomScaleNormal="70" zoomScaleSheetLayoutView="115" workbookViewId="0">
      <selection activeCell="E5" sqref="E5"/>
    </sheetView>
  </sheetViews>
  <sheetFormatPr baseColWidth="8" defaultRowHeight="12.5"/>
  <cols>
    <col width="2" customWidth="1" style="662" min="1" max="1"/>
    <col width="2.1796875" customWidth="1" style="662" min="2" max="2"/>
    <col width="10.54296875" customWidth="1" style="180" min="3" max="3"/>
    <col width="24.54296875" customWidth="1" style="662" min="4" max="4"/>
    <col width="6.54296875" customWidth="1" style="662" min="5" max="5"/>
    <col width="11.81640625" customWidth="1" style="662" min="6" max="6"/>
    <col width="2.54296875" customWidth="1" style="662" min="7" max="7"/>
    <col width="17.54296875" customWidth="1" style="662" min="8" max="8"/>
    <col width="10.54296875" customWidth="1" style="662" min="9" max="10"/>
    <col width="2.453125" customWidth="1" style="662" min="11" max="11"/>
    <col width="10.54296875" customWidth="1" style="662" min="12" max="13"/>
    <col width="2.453125" customWidth="1" style="662" min="14" max="14"/>
    <col width="10.54296875" customWidth="1" style="662" min="15" max="16"/>
    <col width="1.1796875" customWidth="1" style="662" min="17" max="17"/>
    <col width="9.1796875" customWidth="1" style="662" min="18" max="256"/>
    <col width="2" customWidth="1" style="662" min="257" max="257"/>
    <col width="2.1796875" customWidth="1" style="662" min="258" max="258"/>
    <col width="10.54296875" customWidth="1" style="662" min="259" max="259"/>
    <col width="24.54296875" customWidth="1" style="662" min="260" max="260"/>
    <col width="6.54296875" customWidth="1" style="662" min="261" max="261"/>
    <col width="11.81640625" customWidth="1" style="662" min="262" max="262"/>
    <col width="2.54296875" customWidth="1" style="662" min="263" max="263"/>
    <col width="17.54296875" customWidth="1" style="662" min="264" max="264"/>
    <col width="10.54296875" customWidth="1" style="662" min="265" max="266"/>
    <col width="2.453125" customWidth="1" style="662" min="267" max="267"/>
    <col width="10.54296875" customWidth="1" style="662" min="268" max="269"/>
    <col width="2.453125" customWidth="1" style="662" min="270" max="270"/>
    <col width="10.54296875" customWidth="1" style="662" min="271" max="272"/>
    <col width="1.1796875" customWidth="1" style="662" min="273" max="273"/>
    <col width="9.1796875" customWidth="1" style="662" min="274" max="512"/>
    <col width="2" customWidth="1" style="662" min="513" max="513"/>
    <col width="2.1796875" customWidth="1" style="662" min="514" max="514"/>
    <col width="10.54296875" customWidth="1" style="662" min="515" max="515"/>
    <col width="24.54296875" customWidth="1" style="662" min="516" max="516"/>
    <col width="6.54296875" customWidth="1" style="662" min="517" max="517"/>
    <col width="11.81640625" customWidth="1" style="662" min="518" max="518"/>
    <col width="2.54296875" customWidth="1" style="662" min="519" max="519"/>
    <col width="17.54296875" customWidth="1" style="662" min="520" max="520"/>
    <col width="10.54296875" customWidth="1" style="662" min="521" max="522"/>
    <col width="2.453125" customWidth="1" style="662" min="523" max="523"/>
    <col width="10.54296875" customWidth="1" style="662" min="524" max="525"/>
    <col width="2.453125" customWidth="1" style="662" min="526" max="526"/>
    <col width="10.54296875" customWidth="1" style="662" min="527" max="528"/>
    <col width="1.1796875" customWidth="1" style="662" min="529" max="529"/>
    <col width="9.1796875" customWidth="1" style="662" min="530" max="768"/>
    <col width="2" customWidth="1" style="662" min="769" max="769"/>
    <col width="2.1796875" customWidth="1" style="662" min="770" max="770"/>
    <col width="10.54296875" customWidth="1" style="662" min="771" max="771"/>
    <col width="24.54296875" customWidth="1" style="662" min="772" max="772"/>
    <col width="6.54296875" customWidth="1" style="662" min="773" max="773"/>
    <col width="11.81640625" customWidth="1" style="662" min="774" max="774"/>
    <col width="2.54296875" customWidth="1" style="662" min="775" max="775"/>
    <col width="17.54296875" customWidth="1" style="662" min="776" max="776"/>
    <col width="10.54296875" customWidth="1" style="662" min="777" max="778"/>
    <col width="2.453125" customWidth="1" style="662" min="779" max="779"/>
    <col width="10.54296875" customWidth="1" style="662" min="780" max="781"/>
    <col width="2.453125" customWidth="1" style="662" min="782" max="782"/>
    <col width="10.54296875" customWidth="1" style="662" min="783" max="784"/>
    <col width="1.1796875" customWidth="1" style="662" min="785" max="785"/>
    <col width="9.1796875" customWidth="1" style="662" min="786" max="1024"/>
    <col width="2" customWidth="1" style="662" min="1025" max="1025"/>
    <col width="2.1796875" customWidth="1" style="662" min="1026" max="1026"/>
    <col width="10.54296875" customWidth="1" style="662" min="1027" max="1027"/>
    <col width="24.54296875" customWidth="1" style="662" min="1028" max="1028"/>
    <col width="6.54296875" customWidth="1" style="662" min="1029" max="1029"/>
    <col width="11.81640625" customWidth="1" style="662" min="1030" max="1030"/>
    <col width="2.54296875" customWidth="1" style="662" min="1031" max="1031"/>
    <col width="17.54296875" customWidth="1" style="662" min="1032" max="1032"/>
    <col width="10.54296875" customWidth="1" style="662" min="1033" max="1034"/>
    <col width="2.453125" customWidth="1" style="662" min="1035" max="1035"/>
    <col width="10.54296875" customWidth="1" style="662" min="1036" max="1037"/>
    <col width="2.453125" customWidth="1" style="662" min="1038" max="1038"/>
    <col width="10.54296875" customWidth="1" style="662" min="1039" max="1040"/>
    <col width="1.1796875" customWidth="1" style="662" min="1041" max="1041"/>
    <col width="9.1796875" customWidth="1" style="662" min="1042" max="1280"/>
    <col width="2" customWidth="1" style="662" min="1281" max="1281"/>
    <col width="2.1796875" customWidth="1" style="662" min="1282" max="1282"/>
    <col width="10.54296875" customWidth="1" style="662" min="1283" max="1283"/>
    <col width="24.54296875" customWidth="1" style="662" min="1284" max="1284"/>
    <col width="6.54296875" customWidth="1" style="662" min="1285" max="1285"/>
    <col width="11.81640625" customWidth="1" style="662" min="1286" max="1286"/>
    <col width="2.54296875" customWidth="1" style="662" min="1287" max="1287"/>
    <col width="17.54296875" customWidth="1" style="662" min="1288" max="1288"/>
    <col width="10.54296875" customWidth="1" style="662" min="1289" max="1290"/>
    <col width="2.453125" customWidth="1" style="662" min="1291" max="1291"/>
    <col width="10.54296875" customWidth="1" style="662" min="1292" max="1293"/>
    <col width="2.453125" customWidth="1" style="662" min="1294" max="1294"/>
    <col width="10.54296875" customWidth="1" style="662" min="1295" max="1296"/>
    <col width="1.1796875" customWidth="1" style="662" min="1297" max="1297"/>
    <col width="9.1796875" customWidth="1" style="662" min="1298" max="1536"/>
    <col width="2" customWidth="1" style="662" min="1537" max="1537"/>
    <col width="2.1796875" customWidth="1" style="662" min="1538" max="1538"/>
    <col width="10.54296875" customWidth="1" style="662" min="1539" max="1539"/>
    <col width="24.54296875" customWidth="1" style="662" min="1540" max="1540"/>
    <col width="6.54296875" customWidth="1" style="662" min="1541" max="1541"/>
    <col width="11.81640625" customWidth="1" style="662" min="1542" max="1542"/>
    <col width="2.54296875" customWidth="1" style="662" min="1543" max="1543"/>
    <col width="17.54296875" customWidth="1" style="662" min="1544" max="1544"/>
    <col width="10.54296875" customWidth="1" style="662" min="1545" max="1546"/>
    <col width="2.453125" customWidth="1" style="662" min="1547" max="1547"/>
    <col width="10.54296875" customWidth="1" style="662" min="1548" max="1549"/>
    <col width="2.453125" customWidth="1" style="662" min="1550" max="1550"/>
    <col width="10.54296875" customWidth="1" style="662" min="1551" max="1552"/>
    <col width="1.1796875" customWidth="1" style="662" min="1553" max="1553"/>
    <col width="9.1796875" customWidth="1" style="662" min="1554" max="1792"/>
    <col width="2" customWidth="1" style="662" min="1793" max="1793"/>
    <col width="2.1796875" customWidth="1" style="662" min="1794" max="1794"/>
    <col width="10.54296875" customWidth="1" style="662" min="1795" max="1795"/>
    <col width="24.54296875" customWidth="1" style="662" min="1796" max="1796"/>
    <col width="6.54296875" customWidth="1" style="662" min="1797" max="1797"/>
    <col width="11.81640625" customWidth="1" style="662" min="1798" max="1798"/>
    <col width="2.54296875" customWidth="1" style="662" min="1799" max="1799"/>
    <col width="17.54296875" customWidth="1" style="662" min="1800" max="1800"/>
    <col width="10.54296875" customWidth="1" style="662" min="1801" max="1802"/>
    <col width="2.453125" customWidth="1" style="662" min="1803" max="1803"/>
    <col width="10.54296875" customWidth="1" style="662" min="1804" max="1805"/>
    <col width="2.453125" customWidth="1" style="662" min="1806" max="1806"/>
    <col width="10.54296875" customWidth="1" style="662" min="1807" max="1808"/>
    <col width="1.1796875" customWidth="1" style="662" min="1809" max="1809"/>
    <col width="9.1796875" customWidth="1" style="662" min="1810" max="2048"/>
    <col width="2" customWidth="1" style="662" min="2049" max="2049"/>
    <col width="2.1796875" customWidth="1" style="662" min="2050" max="2050"/>
    <col width="10.54296875" customWidth="1" style="662" min="2051" max="2051"/>
    <col width="24.54296875" customWidth="1" style="662" min="2052" max="2052"/>
    <col width="6.54296875" customWidth="1" style="662" min="2053" max="2053"/>
    <col width="11.81640625" customWidth="1" style="662" min="2054" max="2054"/>
    <col width="2.54296875" customWidth="1" style="662" min="2055" max="2055"/>
    <col width="17.54296875" customWidth="1" style="662" min="2056" max="2056"/>
    <col width="10.54296875" customWidth="1" style="662" min="2057" max="2058"/>
    <col width="2.453125" customWidth="1" style="662" min="2059" max="2059"/>
    <col width="10.54296875" customWidth="1" style="662" min="2060" max="2061"/>
    <col width="2.453125" customWidth="1" style="662" min="2062" max="2062"/>
    <col width="10.54296875" customWidth="1" style="662" min="2063" max="2064"/>
    <col width="1.1796875" customWidth="1" style="662" min="2065" max="2065"/>
    <col width="9.1796875" customWidth="1" style="662" min="2066" max="2304"/>
    <col width="2" customWidth="1" style="662" min="2305" max="2305"/>
    <col width="2.1796875" customWidth="1" style="662" min="2306" max="2306"/>
    <col width="10.54296875" customWidth="1" style="662" min="2307" max="2307"/>
    <col width="24.54296875" customWidth="1" style="662" min="2308" max="2308"/>
    <col width="6.54296875" customWidth="1" style="662" min="2309" max="2309"/>
    <col width="11.81640625" customWidth="1" style="662" min="2310" max="2310"/>
    <col width="2.54296875" customWidth="1" style="662" min="2311" max="2311"/>
    <col width="17.54296875" customWidth="1" style="662" min="2312" max="2312"/>
    <col width="10.54296875" customWidth="1" style="662" min="2313" max="2314"/>
    <col width="2.453125" customWidth="1" style="662" min="2315" max="2315"/>
    <col width="10.54296875" customWidth="1" style="662" min="2316" max="2317"/>
    <col width="2.453125" customWidth="1" style="662" min="2318" max="2318"/>
    <col width="10.54296875" customWidth="1" style="662" min="2319" max="2320"/>
    <col width="1.1796875" customWidth="1" style="662" min="2321" max="2321"/>
    <col width="9.1796875" customWidth="1" style="662" min="2322" max="2560"/>
    <col width="2" customWidth="1" style="662" min="2561" max="2561"/>
    <col width="2.1796875" customWidth="1" style="662" min="2562" max="2562"/>
    <col width="10.54296875" customWidth="1" style="662" min="2563" max="2563"/>
    <col width="24.54296875" customWidth="1" style="662" min="2564" max="2564"/>
    <col width="6.54296875" customWidth="1" style="662" min="2565" max="2565"/>
    <col width="11.81640625" customWidth="1" style="662" min="2566" max="2566"/>
    <col width="2.54296875" customWidth="1" style="662" min="2567" max="2567"/>
    <col width="17.54296875" customWidth="1" style="662" min="2568" max="2568"/>
    <col width="10.54296875" customWidth="1" style="662" min="2569" max="2570"/>
    <col width="2.453125" customWidth="1" style="662" min="2571" max="2571"/>
    <col width="10.54296875" customWidth="1" style="662" min="2572" max="2573"/>
    <col width="2.453125" customWidth="1" style="662" min="2574" max="2574"/>
    <col width="10.54296875" customWidth="1" style="662" min="2575" max="2576"/>
    <col width="1.1796875" customWidth="1" style="662" min="2577" max="2577"/>
    <col width="9.1796875" customWidth="1" style="662" min="2578" max="2816"/>
    <col width="2" customWidth="1" style="662" min="2817" max="2817"/>
    <col width="2.1796875" customWidth="1" style="662" min="2818" max="2818"/>
    <col width="10.54296875" customWidth="1" style="662" min="2819" max="2819"/>
    <col width="24.54296875" customWidth="1" style="662" min="2820" max="2820"/>
    <col width="6.54296875" customWidth="1" style="662" min="2821" max="2821"/>
    <col width="11.81640625" customWidth="1" style="662" min="2822" max="2822"/>
    <col width="2.54296875" customWidth="1" style="662" min="2823" max="2823"/>
    <col width="17.54296875" customWidth="1" style="662" min="2824" max="2824"/>
    <col width="10.54296875" customWidth="1" style="662" min="2825" max="2826"/>
    <col width="2.453125" customWidth="1" style="662" min="2827" max="2827"/>
    <col width="10.54296875" customWidth="1" style="662" min="2828" max="2829"/>
    <col width="2.453125" customWidth="1" style="662" min="2830" max="2830"/>
    <col width="10.54296875" customWidth="1" style="662" min="2831" max="2832"/>
    <col width="1.1796875" customWidth="1" style="662" min="2833" max="2833"/>
    <col width="9.1796875" customWidth="1" style="662" min="2834" max="3072"/>
    <col width="2" customWidth="1" style="662" min="3073" max="3073"/>
    <col width="2.1796875" customWidth="1" style="662" min="3074" max="3074"/>
    <col width="10.54296875" customWidth="1" style="662" min="3075" max="3075"/>
    <col width="24.54296875" customWidth="1" style="662" min="3076" max="3076"/>
    <col width="6.54296875" customWidth="1" style="662" min="3077" max="3077"/>
    <col width="11.81640625" customWidth="1" style="662" min="3078" max="3078"/>
    <col width="2.54296875" customWidth="1" style="662" min="3079" max="3079"/>
    <col width="17.54296875" customWidth="1" style="662" min="3080" max="3080"/>
    <col width="10.54296875" customWidth="1" style="662" min="3081" max="3082"/>
    <col width="2.453125" customWidth="1" style="662" min="3083" max="3083"/>
    <col width="10.54296875" customWidth="1" style="662" min="3084" max="3085"/>
    <col width="2.453125" customWidth="1" style="662" min="3086" max="3086"/>
    <col width="10.54296875" customWidth="1" style="662" min="3087" max="3088"/>
    <col width="1.1796875" customWidth="1" style="662" min="3089" max="3089"/>
    <col width="9.1796875" customWidth="1" style="662" min="3090" max="3328"/>
    <col width="2" customWidth="1" style="662" min="3329" max="3329"/>
    <col width="2.1796875" customWidth="1" style="662" min="3330" max="3330"/>
    <col width="10.54296875" customWidth="1" style="662" min="3331" max="3331"/>
    <col width="24.54296875" customWidth="1" style="662" min="3332" max="3332"/>
    <col width="6.54296875" customWidth="1" style="662" min="3333" max="3333"/>
    <col width="11.81640625" customWidth="1" style="662" min="3334" max="3334"/>
    <col width="2.54296875" customWidth="1" style="662" min="3335" max="3335"/>
    <col width="17.54296875" customWidth="1" style="662" min="3336" max="3336"/>
    <col width="10.54296875" customWidth="1" style="662" min="3337" max="3338"/>
    <col width="2.453125" customWidth="1" style="662" min="3339" max="3339"/>
    <col width="10.54296875" customWidth="1" style="662" min="3340" max="3341"/>
    <col width="2.453125" customWidth="1" style="662" min="3342" max="3342"/>
    <col width="10.54296875" customWidth="1" style="662" min="3343" max="3344"/>
    <col width="1.1796875" customWidth="1" style="662" min="3345" max="3345"/>
    <col width="9.1796875" customWidth="1" style="662" min="3346" max="3584"/>
    <col width="2" customWidth="1" style="662" min="3585" max="3585"/>
    <col width="2.1796875" customWidth="1" style="662" min="3586" max="3586"/>
    <col width="10.54296875" customWidth="1" style="662" min="3587" max="3587"/>
    <col width="24.54296875" customWidth="1" style="662" min="3588" max="3588"/>
    <col width="6.54296875" customWidth="1" style="662" min="3589" max="3589"/>
    <col width="11.81640625" customWidth="1" style="662" min="3590" max="3590"/>
    <col width="2.54296875" customWidth="1" style="662" min="3591" max="3591"/>
    <col width="17.54296875" customWidth="1" style="662" min="3592" max="3592"/>
    <col width="10.54296875" customWidth="1" style="662" min="3593" max="3594"/>
    <col width="2.453125" customWidth="1" style="662" min="3595" max="3595"/>
    <col width="10.54296875" customWidth="1" style="662" min="3596" max="3597"/>
    <col width="2.453125" customWidth="1" style="662" min="3598" max="3598"/>
    <col width="10.54296875" customWidth="1" style="662" min="3599" max="3600"/>
    <col width="1.1796875" customWidth="1" style="662" min="3601" max="3601"/>
    <col width="9.1796875" customWidth="1" style="662" min="3602" max="3840"/>
    <col width="2" customWidth="1" style="662" min="3841" max="3841"/>
    <col width="2.1796875" customWidth="1" style="662" min="3842" max="3842"/>
    <col width="10.54296875" customWidth="1" style="662" min="3843" max="3843"/>
    <col width="24.54296875" customWidth="1" style="662" min="3844" max="3844"/>
    <col width="6.54296875" customWidth="1" style="662" min="3845" max="3845"/>
    <col width="11.81640625" customWidth="1" style="662" min="3846" max="3846"/>
    <col width="2.54296875" customWidth="1" style="662" min="3847" max="3847"/>
    <col width="17.54296875" customWidth="1" style="662" min="3848" max="3848"/>
    <col width="10.54296875" customWidth="1" style="662" min="3849" max="3850"/>
    <col width="2.453125" customWidth="1" style="662" min="3851" max="3851"/>
    <col width="10.54296875" customWidth="1" style="662" min="3852" max="3853"/>
    <col width="2.453125" customWidth="1" style="662" min="3854" max="3854"/>
    <col width="10.54296875" customWidth="1" style="662" min="3855" max="3856"/>
    <col width="1.1796875" customWidth="1" style="662" min="3857" max="3857"/>
    <col width="9.1796875" customWidth="1" style="662" min="3858" max="4096"/>
    <col width="2" customWidth="1" style="662" min="4097" max="4097"/>
    <col width="2.1796875" customWidth="1" style="662" min="4098" max="4098"/>
    <col width="10.54296875" customWidth="1" style="662" min="4099" max="4099"/>
    <col width="24.54296875" customWidth="1" style="662" min="4100" max="4100"/>
    <col width="6.54296875" customWidth="1" style="662" min="4101" max="4101"/>
    <col width="11.81640625" customWidth="1" style="662" min="4102" max="4102"/>
    <col width="2.54296875" customWidth="1" style="662" min="4103" max="4103"/>
    <col width="17.54296875" customWidth="1" style="662" min="4104" max="4104"/>
    <col width="10.54296875" customWidth="1" style="662" min="4105" max="4106"/>
    <col width="2.453125" customWidth="1" style="662" min="4107" max="4107"/>
    <col width="10.54296875" customWidth="1" style="662" min="4108" max="4109"/>
    <col width="2.453125" customWidth="1" style="662" min="4110" max="4110"/>
    <col width="10.54296875" customWidth="1" style="662" min="4111" max="4112"/>
    <col width="1.1796875" customWidth="1" style="662" min="4113" max="4113"/>
    <col width="9.1796875" customWidth="1" style="662" min="4114" max="4352"/>
    <col width="2" customWidth="1" style="662" min="4353" max="4353"/>
    <col width="2.1796875" customWidth="1" style="662" min="4354" max="4354"/>
    <col width="10.54296875" customWidth="1" style="662" min="4355" max="4355"/>
    <col width="24.54296875" customWidth="1" style="662" min="4356" max="4356"/>
    <col width="6.54296875" customWidth="1" style="662" min="4357" max="4357"/>
    <col width="11.81640625" customWidth="1" style="662" min="4358" max="4358"/>
    <col width="2.54296875" customWidth="1" style="662" min="4359" max="4359"/>
    <col width="17.54296875" customWidth="1" style="662" min="4360" max="4360"/>
    <col width="10.54296875" customWidth="1" style="662" min="4361" max="4362"/>
    <col width="2.453125" customWidth="1" style="662" min="4363" max="4363"/>
    <col width="10.54296875" customWidth="1" style="662" min="4364" max="4365"/>
    <col width="2.453125" customWidth="1" style="662" min="4366" max="4366"/>
    <col width="10.54296875" customWidth="1" style="662" min="4367" max="4368"/>
    <col width="1.1796875" customWidth="1" style="662" min="4369" max="4369"/>
    <col width="9.1796875" customWidth="1" style="662" min="4370" max="4608"/>
    <col width="2" customWidth="1" style="662" min="4609" max="4609"/>
    <col width="2.1796875" customWidth="1" style="662" min="4610" max="4610"/>
    <col width="10.54296875" customWidth="1" style="662" min="4611" max="4611"/>
    <col width="24.54296875" customWidth="1" style="662" min="4612" max="4612"/>
    <col width="6.54296875" customWidth="1" style="662" min="4613" max="4613"/>
    <col width="11.81640625" customWidth="1" style="662" min="4614" max="4614"/>
    <col width="2.54296875" customWidth="1" style="662" min="4615" max="4615"/>
    <col width="17.54296875" customWidth="1" style="662" min="4616" max="4616"/>
    <col width="10.54296875" customWidth="1" style="662" min="4617" max="4618"/>
    <col width="2.453125" customWidth="1" style="662" min="4619" max="4619"/>
    <col width="10.54296875" customWidth="1" style="662" min="4620" max="4621"/>
    <col width="2.453125" customWidth="1" style="662" min="4622" max="4622"/>
    <col width="10.54296875" customWidth="1" style="662" min="4623" max="4624"/>
    <col width="1.1796875" customWidth="1" style="662" min="4625" max="4625"/>
    <col width="9.1796875" customWidth="1" style="662" min="4626" max="4864"/>
    <col width="2" customWidth="1" style="662" min="4865" max="4865"/>
    <col width="2.1796875" customWidth="1" style="662" min="4866" max="4866"/>
    <col width="10.54296875" customWidth="1" style="662" min="4867" max="4867"/>
    <col width="24.54296875" customWidth="1" style="662" min="4868" max="4868"/>
    <col width="6.54296875" customWidth="1" style="662" min="4869" max="4869"/>
    <col width="11.81640625" customWidth="1" style="662" min="4870" max="4870"/>
    <col width="2.54296875" customWidth="1" style="662" min="4871" max="4871"/>
    <col width="17.54296875" customWidth="1" style="662" min="4872" max="4872"/>
    <col width="10.54296875" customWidth="1" style="662" min="4873" max="4874"/>
    <col width="2.453125" customWidth="1" style="662" min="4875" max="4875"/>
    <col width="10.54296875" customWidth="1" style="662" min="4876" max="4877"/>
    <col width="2.453125" customWidth="1" style="662" min="4878" max="4878"/>
    <col width="10.54296875" customWidth="1" style="662" min="4879" max="4880"/>
    <col width="1.1796875" customWidth="1" style="662" min="4881" max="4881"/>
    <col width="9.1796875" customWidth="1" style="662" min="4882" max="5120"/>
    <col width="2" customWidth="1" style="662" min="5121" max="5121"/>
    <col width="2.1796875" customWidth="1" style="662" min="5122" max="5122"/>
    <col width="10.54296875" customWidth="1" style="662" min="5123" max="5123"/>
    <col width="24.54296875" customWidth="1" style="662" min="5124" max="5124"/>
    <col width="6.54296875" customWidth="1" style="662" min="5125" max="5125"/>
    <col width="11.81640625" customWidth="1" style="662" min="5126" max="5126"/>
    <col width="2.54296875" customWidth="1" style="662" min="5127" max="5127"/>
    <col width="17.54296875" customWidth="1" style="662" min="5128" max="5128"/>
    <col width="10.54296875" customWidth="1" style="662" min="5129" max="5130"/>
    <col width="2.453125" customWidth="1" style="662" min="5131" max="5131"/>
    <col width="10.54296875" customWidth="1" style="662" min="5132" max="5133"/>
    <col width="2.453125" customWidth="1" style="662" min="5134" max="5134"/>
    <col width="10.54296875" customWidth="1" style="662" min="5135" max="5136"/>
    <col width="1.1796875" customWidth="1" style="662" min="5137" max="5137"/>
    <col width="9.1796875" customWidth="1" style="662" min="5138" max="5376"/>
    <col width="2" customWidth="1" style="662" min="5377" max="5377"/>
    <col width="2.1796875" customWidth="1" style="662" min="5378" max="5378"/>
    <col width="10.54296875" customWidth="1" style="662" min="5379" max="5379"/>
    <col width="24.54296875" customWidth="1" style="662" min="5380" max="5380"/>
    <col width="6.54296875" customWidth="1" style="662" min="5381" max="5381"/>
    <col width="11.81640625" customWidth="1" style="662" min="5382" max="5382"/>
    <col width="2.54296875" customWidth="1" style="662" min="5383" max="5383"/>
    <col width="17.54296875" customWidth="1" style="662" min="5384" max="5384"/>
    <col width="10.54296875" customWidth="1" style="662" min="5385" max="5386"/>
    <col width="2.453125" customWidth="1" style="662" min="5387" max="5387"/>
    <col width="10.54296875" customWidth="1" style="662" min="5388" max="5389"/>
    <col width="2.453125" customWidth="1" style="662" min="5390" max="5390"/>
    <col width="10.54296875" customWidth="1" style="662" min="5391" max="5392"/>
    <col width="1.1796875" customWidth="1" style="662" min="5393" max="5393"/>
    <col width="9.1796875" customWidth="1" style="662" min="5394" max="5632"/>
    <col width="2" customWidth="1" style="662" min="5633" max="5633"/>
    <col width="2.1796875" customWidth="1" style="662" min="5634" max="5634"/>
    <col width="10.54296875" customWidth="1" style="662" min="5635" max="5635"/>
    <col width="24.54296875" customWidth="1" style="662" min="5636" max="5636"/>
    <col width="6.54296875" customWidth="1" style="662" min="5637" max="5637"/>
    <col width="11.81640625" customWidth="1" style="662" min="5638" max="5638"/>
    <col width="2.54296875" customWidth="1" style="662" min="5639" max="5639"/>
    <col width="17.54296875" customWidth="1" style="662" min="5640" max="5640"/>
    <col width="10.54296875" customWidth="1" style="662" min="5641" max="5642"/>
    <col width="2.453125" customWidth="1" style="662" min="5643" max="5643"/>
    <col width="10.54296875" customWidth="1" style="662" min="5644" max="5645"/>
    <col width="2.453125" customWidth="1" style="662" min="5646" max="5646"/>
    <col width="10.54296875" customWidth="1" style="662" min="5647" max="5648"/>
    <col width="1.1796875" customWidth="1" style="662" min="5649" max="5649"/>
    <col width="9.1796875" customWidth="1" style="662" min="5650" max="5888"/>
    <col width="2" customWidth="1" style="662" min="5889" max="5889"/>
    <col width="2.1796875" customWidth="1" style="662" min="5890" max="5890"/>
    <col width="10.54296875" customWidth="1" style="662" min="5891" max="5891"/>
    <col width="24.54296875" customWidth="1" style="662" min="5892" max="5892"/>
    <col width="6.54296875" customWidth="1" style="662" min="5893" max="5893"/>
    <col width="11.81640625" customWidth="1" style="662" min="5894" max="5894"/>
    <col width="2.54296875" customWidth="1" style="662" min="5895" max="5895"/>
    <col width="17.54296875" customWidth="1" style="662" min="5896" max="5896"/>
    <col width="10.54296875" customWidth="1" style="662" min="5897" max="5898"/>
    <col width="2.453125" customWidth="1" style="662" min="5899" max="5899"/>
    <col width="10.54296875" customWidth="1" style="662" min="5900" max="5901"/>
    <col width="2.453125" customWidth="1" style="662" min="5902" max="5902"/>
    <col width="10.54296875" customWidth="1" style="662" min="5903" max="5904"/>
    <col width="1.1796875" customWidth="1" style="662" min="5905" max="5905"/>
    <col width="9.1796875" customWidth="1" style="662" min="5906" max="6144"/>
    <col width="2" customWidth="1" style="662" min="6145" max="6145"/>
    <col width="2.1796875" customWidth="1" style="662" min="6146" max="6146"/>
    <col width="10.54296875" customWidth="1" style="662" min="6147" max="6147"/>
    <col width="24.54296875" customWidth="1" style="662" min="6148" max="6148"/>
    <col width="6.54296875" customWidth="1" style="662" min="6149" max="6149"/>
    <col width="11.81640625" customWidth="1" style="662" min="6150" max="6150"/>
    <col width="2.54296875" customWidth="1" style="662" min="6151" max="6151"/>
    <col width="17.54296875" customWidth="1" style="662" min="6152" max="6152"/>
    <col width="10.54296875" customWidth="1" style="662" min="6153" max="6154"/>
    <col width="2.453125" customWidth="1" style="662" min="6155" max="6155"/>
    <col width="10.54296875" customWidth="1" style="662" min="6156" max="6157"/>
    <col width="2.453125" customWidth="1" style="662" min="6158" max="6158"/>
    <col width="10.54296875" customWidth="1" style="662" min="6159" max="6160"/>
    <col width="1.1796875" customWidth="1" style="662" min="6161" max="6161"/>
    <col width="9.1796875" customWidth="1" style="662" min="6162" max="6400"/>
    <col width="2" customWidth="1" style="662" min="6401" max="6401"/>
    <col width="2.1796875" customWidth="1" style="662" min="6402" max="6402"/>
    <col width="10.54296875" customWidth="1" style="662" min="6403" max="6403"/>
    <col width="24.54296875" customWidth="1" style="662" min="6404" max="6404"/>
    <col width="6.54296875" customWidth="1" style="662" min="6405" max="6405"/>
    <col width="11.81640625" customWidth="1" style="662" min="6406" max="6406"/>
    <col width="2.54296875" customWidth="1" style="662" min="6407" max="6407"/>
    <col width="17.54296875" customWidth="1" style="662" min="6408" max="6408"/>
    <col width="10.54296875" customWidth="1" style="662" min="6409" max="6410"/>
    <col width="2.453125" customWidth="1" style="662" min="6411" max="6411"/>
    <col width="10.54296875" customWidth="1" style="662" min="6412" max="6413"/>
    <col width="2.453125" customWidth="1" style="662" min="6414" max="6414"/>
    <col width="10.54296875" customWidth="1" style="662" min="6415" max="6416"/>
    <col width="1.1796875" customWidth="1" style="662" min="6417" max="6417"/>
    <col width="9.1796875" customWidth="1" style="662" min="6418" max="6656"/>
    <col width="2" customWidth="1" style="662" min="6657" max="6657"/>
    <col width="2.1796875" customWidth="1" style="662" min="6658" max="6658"/>
    <col width="10.54296875" customWidth="1" style="662" min="6659" max="6659"/>
    <col width="24.54296875" customWidth="1" style="662" min="6660" max="6660"/>
    <col width="6.54296875" customWidth="1" style="662" min="6661" max="6661"/>
    <col width="11.81640625" customWidth="1" style="662" min="6662" max="6662"/>
    <col width="2.54296875" customWidth="1" style="662" min="6663" max="6663"/>
    <col width="17.54296875" customWidth="1" style="662" min="6664" max="6664"/>
    <col width="10.54296875" customWidth="1" style="662" min="6665" max="6666"/>
    <col width="2.453125" customWidth="1" style="662" min="6667" max="6667"/>
    <col width="10.54296875" customWidth="1" style="662" min="6668" max="6669"/>
    <col width="2.453125" customWidth="1" style="662" min="6670" max="6670"/>
    <col width="10.54296875" customWidth="1" style="662" min="6671" max="6672"/>
    <col width="1.1796875" customWidth="1" style="662" min="6673" max="6673"/>
    <col width="9.1796875" customWidth="1" style="662" min="6674" max="6912"/>
    <col width="2" customWidth="1" style="662" min="6913" max="6913"/>
    <col width="2.1796875" customWidth="1" style="662" min="6914" max="6914"/>
    <col width="10.54296875" customWidth="1" style="662" min="6915" max="6915"/>
    <col width="24.54296875" customWidth="1" style="662" min="6916" max="6916"/>
    <col width="6.54296875" customWidth="1" style="662" min="6917" max="6917"/>
    <col width="11.81640625" customWidth="1" style="662" min="6918" max="6918"/>
    <col width="2.54296875" customWidth="1" style="662" min="6919" max="6919"/>
    <col width="17.54296875" customWidth="1" style="662" min="6920" max="6920"/>
    <col width="10.54296875" customWidth="1" style="662" min="6921" max="6922"/>
    <col width="2.453125" customWidth="1" style="662" min="6923" max="6923"/>
    <col width="10.54296875" customWidth="1" style="662" min="6924" max="6925"/>
    <col width="2.453125" customWidth="1" style="662" min="6926" max="6926"/>
    <col width="10.54296875" customWidth="1" style="662" min="6927" max="6928"/>
    <col width="1.1796875" customWidth="1" style="662" min="6929" max="6929"/>
    <col width="9.1796875" customWidth="1" style="662" min="6930" max="7168"/>
    <col width="2" customWidth="1" style="662" min="7169" max="7169"/>
    <col width="2.1796875" customWidth="1" style="662" min="7170" max="7170"/>
    <col width="10.54296875" customWidth="1" style="662" min="7171" max="7171"/>
    <col width="24.54296875" customWidth="1" style="662" min="7172" max="7172"/>
    <col width="6.54296875" customWidth="1" style="662" min="7173" max="7173"/>
    <col width="11.81640625" customWidth="1" style="662" min="7174" max="7174"/>
    <col width="2.54296875" customWidth="1" style="662" min="7175" max="7175"/>
    <col width="17.54296875" customWidth="1" style="662" min="7176" max="7176"/>
    <col width="10.54296875" customWidth="1" style="662" min="7177" max="7178"/>
    <col width="2.453125" customWidth="1" style="662" min="7179" max="7179"/>
    <col width="10.54296875" customWidth="1" style="662" min="7180" max="7181"/>
    <col width="2.453125" customWidth="1" style="662" min="7182" max="7182"/>
    <col width="10.54296875" customWidth="1" style="662" min="7183" max="7184"/>
    <col width="1.1796875" customWidth="1" style="662" min="7185" max="7185"/>
    <col width="9.1796875" customWidth="1" style="662" min="7186" max="7424"/>
    <col width="2" customWidth="1" style="662" min="7425" max="7425"/>
    <col width="2.1796875" customWidth="1" style="662" min="7426" max="7426"/>
    <col width="10.54296875" customWidth="1" style="662" min="7427" max="7427"/>
    <col width="24.54296875" customWidth="1" style="662" min="7428" max="7428"/>
    <col width="6.54296875" customWidth="1" style="662" min="7429" max="7429"/>
    <col width="11.81640625" customWidth="1" style="662" min="7430" max="7430"/>
    <col width="2.54296875" customWidth="1" style="662" min="7431" max="7431"/>
    <col width="17.54296875" customWidth="1" style="662" min="7432" max="7432"/>
    <col width="10.54296875" customWidth="1" style="662" min="7433" max="7434"/>
    <col width="2.453125" customWidth="1" style="662" min="7435" max="7435"/>
    <col width="10.54296875" customWidth="1" style="662" min="7436" max="7437"/>
    <col width="2.453125" customWidth="1" style="662" min="7438" max="7438"/>
    <col width="10.54296875" customWidth="1" style="662" min="7439" max="7440"/>
    <col width="1.1796875" customWidth="1" style="662" min="7441" max="7441"/>
    <col width="9.1796875" customWidth="1" style="662" min="7442" max="7680"/>
    <col width="2" customWidth="1" style="662" min="7681" max="7681"/>
    <col width="2.1796875" customWidth="1" style="662" min="7682" max="7682"/>
    <col width="10.54296875" customWidth="1" style="662" min="7683" max="7683"/>
    <col width="24.54296875" customWidth="1" style="662" min="7684" max="7684"/>
    <col width="6.54296875" customWidth="1" style="662" min="7685" max="7685"/>
    <col width="11.81640625" customWidth="1" style="662" min="7686" max="7686"/>
    <col width="2.54296875" customWidth="1" style="662" min="7687" max="7687"/>
    <col width="17.54296875" customWidth="1" style="662" min="7688" max="7688"/>
    <col width="10.54296875" customWidth="1" style="662" min="7689" max="7690"/>
    <col width="2.453125" customWidth="1" style="662" min="7691" max="7691"/>
    <col width="10.54296875" customWidth="1" style="662" min="7692" max="7693"/>
    <col width="2.453125" customWidth="1" style="662" min="7694" max="7694"/>
    <col width="10.54296875" customWidth="1" style="662" min="7695" max="7696"/>
    <col width="1.1796875" customWidth="1" style="662" min="7697" max="7697"/>
    <col width="9.1796875" customWidth="1" style="662" min="7698" max="7936"/>
    <col width="2" customWidth="1" style="662" min="7937" max="7937"/>
    <col width="2.1796875" customWidth="1" style="662" min="7938" max="7938"/>
    <col width="10.54296875" customWidth="1" style="662" min="7939" max="7939"/>
    <col width="24.54296875" customWidth="1" style="662" min="7940" max="7940"/>
    <col width="6.54296875" customWidth="1" style="662" min="7941" max="7941"/>
    <col width="11.81640625" customWidth="1" style="662" min="7942" max="7942"/>
    <col width="2.54296875" customWidth="1" style="662" min="7943" max="7943"/>
    <col width="17.54296875" customWidth="1" style="662" min="7944" max="7944"/>
    <col width="10.54296875" customWidth="1" style="662" min="7945" max="7946"/>
    <col width="2.453125" customWidth="1" style="662" min="7947" max="7947"/>
    <col width="10.54296875" customWidth="1" style="662" min="7948" max="7949"/>
    <col width="2.453125" customWidth="1" style="662" min="7950" max="7950"/>
    <col width="10.54296875" customWidth="1" style="662" min="7951" max="7952"/>
    <col width="1.1796875" customWidth="1" style="662" min="7953" max="7953"/>
    <col width="9.1796875" customWidth="1" style="662" min="7954" max="8192"/>
    <col width="2" customWidth="1" style="662" min="8193" max="8193"/>
    <col width="2.1796875" customWidth="1" style="662" min="8194" max="8194"/>
    <col width="10.54296875" customWidth="1" style="662" min="8195" max="8195"/>
    <col width="24.54296875" customWidth="1" style="662" min="8196" max="8196"/>
    <col width="6.54296875" customWidth="1" style="662" min="8197" max="8197"/>
    <col width="11.81640625" customWidth="1" style="662" min="8198" max="8198"/>
    <col width="2.54296875" customWidth="1" style="662" min="8199" max="8199"/>
    <col width="17.54296875" customWidth="1" style="662" min="8200" max="8200"/>
    <col width="10.54296875" customWidth="1" style="662" min="8201" max="8202"/>
    <col width="2.453125" customWidth="1" style="662" min="8203" max="8203"/>
    <col width="10.54296875" customWidth="1" style="662" min="8204" max="8205"/>
    <col width="2.453125" customWidth="1" style="662" min="8206" max="8206"/>
    <col width="10.54296875" customWidth="1" style="662" min="8207" max="8208"/>
    <col width="1.1796875" customWidth="1" style="662" min="8209" max="8209"/>
    <col width="9.1796875" customWidth="1" style="662" min="8210" max="8448"/>
    <col width="2" customWidth="1" style="662" min="8449" max="8449"/>
    <col width="2.1796875" customWidth="1" style="662" min="8450" max="8450"/>
    <col width="10.54296875" customWidth="1" style="662" min="8451" max="8451"/>
    <col width="24.54296875" customWidth="1" style="662" min="8452" max="8452"/>
    <col width="6.54296875" customWidth="1" style="662" min="8453" max="8453"/>
    <col width="11.81640625" customWidth="1" style="662" min="8454" max="8454"/>
    <col width="2.54296875" customWidth="1" style="662" min="8455" max="8455"/>
    <col width="17.54296875" customWidth="1" style="662" min="8456" max="8456"/>
    <col width="10.54296875" customWidth="1" style="662" min="8457" max="8458"/>
    <col width="2.453125" customWidth="1" style="662" min="8459" max="8459"/>
    <col width="10.54296875" customWidth="1" style="662" min="8460" max="8461"/>
    <col width="2.453125" customWidth="1" style="662" min="8462" max="8462"/>
    <col width="10.54296875" customWidth="1" style="662" min="8463" max="8464"/>
    <col width="1.1796875" customWidth="1" style="662" min="8465" max="8465"/>
    <col width="9.1796875" customWidth="1" style="662" min="8466" max="8704"/>
    <col width="2" customWidth="1" style="662" min="8705" max="8705"/>
    <col width="2.1796875" customWidth="1" style="662" min="8706" max="8706"/>
    <col width="10.54296875" customWidth="1" style="662" min="8707" max="8707"/>
    <col width="24.54296875" customWidth="1" style="662" min="8708" max="8708"/>
    <col width="6.54296875" customWidth="1" style="662" min="8709" max="8709"/>
    <col width="11.81640625" customWidth="1" style="662" min="8710" max="8710"/>
    <col width="2.54296875" customWidth="1" style="662" min="8711" max="8711"/>
    <col width="17.54296875" customWidth="1" style="662" min="8712" max="8712"/>
    <col width="10.54296875" customWidth="1" style="662" min="8713" max="8714"/>
    <col width="2.453125" customWidth="1" style="662" min="8715" max="8715"/>
    <col width="10.54296875" customWidth="1" style="662" min="8716" max="8717"/>
    <col width="2.453125" customWidth="1" style="662" min="8718" max="8718"/>
    <col width="10.54296875" customWidth="1" style="662" min="8719" max="8720"/>
    <col width="1.1796875" customWidth="1" style="662" min="8721" max="8721"/>
    <col width="9.1796875" customWidth="1" style="662" min="8722" max="8960"/>
    <col width="2" customWidth="1" style="662" min="8961" max="8961"/>
    <col width="2.1796875" customWidth="1" style="662" min="8962" max="8962"/>
    <col width="10.54296875" customWidth="1" style="662" min="8963" max="8963"/>
    <col width="24.54296875" customWidth="1" style="662" min="8964" max="8964"/>
    <col width="6.54296875" customWidth="1" style="662" min="8965" max="8965"/>
    <col width="11.81640625" customWidth="1" style="662" min="8966" max="8966"/>
    <col width="2.54296875" customWidth="1" style="662" min="8967" max="8967"/>
    <col width="17.54296875" customWidth="1" style="662" min="8968" max="8968"/>
    <col width="10.54296875" customWidth="1" style="662" min="8969" max="8970"/>
    <col width="2.453125" customWidth="1" style="662" min="8971" max="8971"/>
    <col width="10.54296875" customWidth="1" style="662" min="8972" max="8973"/>
    <col width="2.453125" customWidth="1" style="662" min="8974" max="8974"/>
    <col width="10.54296875" customWidth="1" style="662" min="8975" max="8976"/>
    <col width="1.1796875" customWidth="1" style="662" min="8977" max="8977"/>
    <col width="9.1796875" customWidth="1" style="662" min="8978" max="9216"/>
    <col width="2" customWidth="1" style="662" min="9217" max="9217"/>
    <col width="2.1796875" customWidth="1" style="662" min="9218" max="9218"/>
    <col width="10.54296875" customWidth="1" style="662" min="9219" max="9219"/>
    <col width="24.54296875" customWidth="1" style="662" min="9220" max="9220"/>
    <col width="6.54296875" customWidth="1" style="662" min="9221" max="9221"/>
    <col width="11.81640625" customWidth="1" style="662" min="9222" max="9222"/>
    <col width="2.54296875" customWidth="1" style="662" min="9223" max="9223"/>
    <col width="17.54296875" customWidth="1" style="662" min="9224" max="9224"/>
    <col width="10.54296875" customWidth="1" style="662" min="9225" max="9226"/>
    <col width="2.453125" customWidth="1" style="662" min="9227" max="9227"/>
    <col width="10.54296875" customWidth="1" style="662" min="9228" max="9229"/>
    <col width="2.453125" customWidth="1" style="662" min="9230" max="9230"/>
    <col width="10.54296875" customWidth="1" style="662" min="9231" max="9232"/>
    <col width="1.1796875" customWidth="1" style="662" min="9233" max="9233"/>
    <col width="9.1796875" customWidth="1" style="662" min="9234" max="9472"/>
    <col width="2" customWidth="1" style="662" min="9473" max="9473"/>
    <col width="2.1796875" customWidth="1" style="662" min="9474" max="9474"/>
    <col width="10.54296875" customWidth="1" style="662" min="9475" max="9475"/>
    <col width="24.54296875" customWidth="1" style="662" min="9476" max="9476"/>
    <col width="6.54296875" customWidth="1" style="662" min="9477" max="9477"/>
    <col width="11.81640625" customWidth="1" style="662" min="9478" max="9478"/>
    <col width="2.54296875" customWidth="1" style="662" min="9479" max="9479"/>
    <col width="17.54296875" customWidth="1" style="662" min="9480" max="9480"/>
    <col width="10.54296875" customWidth="1" style="662" min="9481" max="9482"/>
    <col width="2.453125" customWidth="1" style="662" min="9483" max="9483"/>
    <col width="10.54296875" customWidth="1" style="662" min="9484" max="9485"/>
    <col width="2.453125" customWidth="1" style="662" min="9486" max="9486"/>
    <col width="10.54296875" customWidth="1" style="662" min="9487" max="9488"/>
    <col width="1.1796875" customWidth="1" style="662" min="9489" max="9489"/>
    <col width="9.1796875" customWidth="1" style="662" min="9490" max="9728"/>
    <col width="2" customWidth="1" style="662" min="9729" max="9729"/>
    <col width="2.1796875" customWidth="1" style="662" min="9730" max="9730"/>
    <col width="10.54296875" customWidth="1" style="662" min="9731" max="9731"/>
    <col width="24.54296875" customWidth="1" style="662" min="9732" max="9732"/>
    <col width="6.54296875" customWidth="1" style="662" min="9733" max="9733"/>
    <col width="11.81640625" customWidth="1" style="662" min="9734" max="9734"/>
    <col width="2.54296875" customWidth="1" style="662" min="9735" max="9735"/>
    <col width="17.54296875" customWidth="1" style="662" min="9736" max="9736"/>
    <col width="10.54296875" customWidth="1" style="662" min="9737" max="9738"/>
    <col width="2.453125" customWidth="1" style="662" min="9739" max="9739"/>
    <col width="10.54296875" customWidth="1" style="662" min="9740" max="9741"/>
    <col width="2.453125" customWidth="1" style="662" min="9742" max="9742"/>
    <col width="10.54296875" customWidth="1" style="662" min="9743" max="9744"/>
    <col width="1.1796875" customWidth="1" style="662" min="9745" max="9745"/>
    <col width="9.1796875" customWidth="1" style="662" min="9746" max="9984"/>
    <col width="2" customWidth="1" style="662" min="9985" max="9985"/>
    <col width="2.1796875" customWidth="1" style="662" min="9986" max="9986"/>
    <col width="10.54296875" customWidth="1" style="662" min="9987" max="9987"/>
    <col width="24.54296875" customWidth="1" style="662" min="9988" max="9988"/>
    <col width="6.54296875" customWidth="1" style="662" min="9989" max="9989"/>
    <col width="11.81640625" customWidth="1" style="662" min="9990" max="9990"/>
    <col width="2.54296875" customWidth="1" style="662" min="9991" max="9991"/>
    <col width="17.54296875" customWidth="1" style="662" min="9992" max="9992"/>
    <col width="10.54296875" customWidth="1" style="662" min="9993" max="9994"/>
    <col width="2.453125" customWidth="1" style="662" min="9995" max="9995"/>
    <col width="10.54296875" customWidth="1" style="662" min="9996" max="9997"/>
    <col width="2.453125" customWidth="1" style="662" min="9998" max="9998"/>
    <col width="10.54296875" customWidth="1" style="662" min="9999" max="10000"/>
    <col width="1.1796875" customWidth="1" style="662" min="10001" max="10001"/>
    <col width="9.1796875" customWidth="1" style="662" min="10002" max="10240"/>
    <col width="2" customWidth="1" style="662" min="10241" max="10241"/>
    <col width="2.1796875" customWidth="1" style="662" min="10242" max="10242"/>
    <col width="10.54296875" customWidth="1" style="662" min="10243" max="10243"/>
    <col width="24.54296875" customWidth="1" style="662" min="10244" max="10244"/>
    <col width="6.54296875" customWidth="1" style="662" min="10245" max="10245"/>
    <col width="11.81640625" customWidth="1" style="662" min="10246" max="10246"/>
    <col width="2.54296875" customWidth="1" style="662" min="10247" max="10247"/>
    <col width="17.54296875" customWidth="1" style="662" min="10248" max="10248"/>
    <col width="10.54296875" customWidth="1" style="662" min="10249" max="10250"/>
    <col width="2.453125" customWidth="1" style="662" min="10251" max="10251"/>
    <col width="10.54296875" customWidth="1" style="662" min="10252" max="10253"/>
    <col width="2.453125" customWidth="1" style="662" min="10254" max="10254"/>
    <col width="10.54296875" customWidth="1" style="662" min="10255" max="10256"/>
    <col width="1.1796875" customWidth="1" style="662" min="10257" max="10257"/>
    <col width="9.1796875" customWidth="1" style="662" min="10258" max="10496"/>
    <col width="2" customWidth="1" style="662" min="10497" max="10497"/>
    <col width="2.1796875" customWidth="1" style="662" min="10498" max="10498"/>
    <col width="10.54296875" customWidth="1" style="662" min="10499" max="10499"/>
    <col width="24.54296875" customWidth="1" style="662" min="10500" max="10500"/>
    <col width="6.54296875" customWidth="1" style="662" min="10501" max="10501"/>
    <col width="11.81640625" customWidth="1" style="662" min="10502" max="10502"/>
    <col width="2.54296875" customWidth="1" style="662" min="10503" max="10503"/>
    <col width="17.54296875" customWidth="1" style="662" min="10504" max="10504"/>
    <col width="10.54296875" customWidth="1" style="662" min="10505" max="10506"/>
    <col width="2.453125" customWidth="1" style="662" min="10507" max="10507"/>
    <col width="10.54296875" customWidth="1" style="662" min="10508" max="10509"/>
    <col width="2.453125" customWidth="1" style="662" min="10510" max="10510"/>
    <col width="10.54296875" customWidth="1" style="662" min="10511" max="10512"/>
    <col width="1.1796875" customWidth="1" style="662" min="10513" max="10513"/>
    <col width="9.1796875" customWidth="1" style="662" min="10514" max="10752"/>
    <col width="2" customWidth="1" style="662" min="10753" max="10753"/>
    <col width="2.1796875" customWidth="1" style="662" min="10754" max="10754"/>
    <col width="10.54296875" customWidth="1" style="662" min="10755" max="10755"/>
    <col width="24.54296875" customWidth="1" style="662" min="10756" max="10756"/>
    <col width="6.54296875" customWidth="1" style="662" min="10757" max="10757"/>
    <col width="11.81640625" customWidth="1" style="662" min="10758" max="10758"/>
    <col width="2.54296875" customWidth="1" style="662" min="10759" max="10759"/>
    <col width="17.54296875" customWidth="1" style="662" min="10760" max="10760"/>
    <col width="10.54296875" customWidth="1" style="662" min="10761" max="10762"/>
    <col width="2.453125" customWidth="1" style="662" min="10763" max="10763"/>
    <col width="10.54296875" customWidth="1" style="662" min="10764" max="10765"/>
    <col width="2.453125" customWidth="1" style="662" min="10766" max="10766"/>
    <col width="10.54296875" customWidth="1" style="662" min="10767" max="10768"/>
    <col width="1.1796875" customWidth="1" style="662" min="10769" max="10769"/>
    <col width="9.1796875" customWidth="1" style="662" min="10770" max="11008"/>
    <col width="2" customWidth="1" style="662" min="11009" max="11009"/>
    <col width="2.1796875" customWidth="1" style="662" min="11010" max="11010"/>
    <col width="10.54296875" customWidth="1" style="662" min="11011" max="11011"/>
    <col width="24.54296875" customWidth="1" style="662" min="11012" max="11012"/>
    <col width="6.54296875" customWidth="1" style="662" min="11013" max="11013"/>
    <col width="11.81640625" customWidth="1" style="662" min="11014" max="11014"/>
    <col width="2.54296875" customWidth="1" style="662" min="11015" max="11015"/>
    <col width="17.54296875" customWidth="1" style="662" min="11016" max="11016"/>
    <col width="10.54296875" customWidth="1" style="662" min="11017" max="11018"/>
    <col width="2.453125" customWidth="1" style="662" min="11019" max="11019"/>
    <col width="10.54296875" customWidth="1" style="662" min="11020" max="11021"/>
    <col width="2.453125" customWidth="1" style="662" min="11022" max="11022"/>
    <col width="10.54296875" customWidth="1" style="662" min="11023" max="11024"/>
    <col width="1.1796875" customWidth="1" style="662" min="11025" max="11025"/>
    <col width="9.1796875" customWidth="1" style="662" min="11026" max="11264"/>
    <col width="2" customWidth="1" style="662" min="11265" max="11265"/>
    <col width="2.1796875" customWidth="1" style="662" min="11266" max="11266"/>
    <col width="10.54296875" customWidth="1" style="662" min="11267" max="11267"/>
    <col width="24.54296875" customWidth="1" style="662" min="11268" max="11268"/>
    <col width="6.54296875" customWidth="1" style="662" min="11269" max="11269"/>
    <col width="11.81640625" customWidth="1" style="662" min="11270" max="11270"/>
    <col width="2.54296875" customWidth="1" style="662" min="11271" max="11271"/>
    <col width="17.54296875" customWidth="1" style="662" min="11272" max="11272"/>
    <col width="10.54296875" customWidth="1" style="662" min="11273" max="11274"/>
    <col width="2.453125" customWidth="1" style="662" min="11275" max="11275"/>
    <col width="10.54296875" customWidth="1" style="662" min="11276" max="11277"/>
    <col width="2.453125" customWidth="1" style="662" min="11278" max="11278"/>
    <col width="10.54296875" customWidth="1" style="662" min="11279" max="11280"/>
    <col width="1.1796875" customWidth="1" style="662" min="11281" max="11281"/>
    <col width="9.1796875" customWidth="1" style="662" min="11282" max="11520"/>
    <col width="2" customWidth="1" style="662" min="11521" max="11521"/>
    <col width="2.1796875" customWidth="1" style="662" min="11522" max="11522"/>
    <col width="10.54296875" customWidth="1" style="662" min="11523" max="11523"/>
    <col width="24.54296875" customWidth="1" style="662" min="11524" max="11524"/>
    <col width="6.54296875" customWidth="1" style="662" min="11525" max="11525"/>
    <col width="11.81640625" customWidth="1" style="662" min="11526" max="11526"/>
    <col width="2.54296875" customWidth="1" style="662" min="11527" max="11527"/>
    <col width="17.54296875" customWidth="1" style="662" min="11528" max="11528"/>
    <col width="10.54296875" customWidth="1" style="662" min="11529" max="11530"/>
    <col width="2.453125" customWidth="1" style="662" min="11531" max="11531"/>
    <col width="10.54296875" customWidth="1" style="662" min="11532" max="11533"/>
    <col width="2.453125" customWidth="1" style="662" min="11534" max="11534"/>
    <col width="10.54296875" customWidth="1" style="662" min="11535" max="11536"/>
    <col width="1.1796875" customWidth="1" style="662" min="11537" max="11537"/>
    <col width="9.1796875" customWidth="1" style="662" min="11538" max="11776"/>
    <col width="2" customWidth="1" style="662" min="11777" max="11777"/>
    <col width="2.1796875" customWidth="1" style="662" min="11778" max="11778"/>
    <col width="10.54296875" customWidth="1" style="662" min="11779" max="11779"/>
    <col width="24.54296875" customWidth="1" style="662" min="11780" max="11780"/>
    <col width="6.54296875" customWidth="1" style="662" min="11781" max="11781"/>
    <col width="11.81640625" customWidth="1" style="662" min="11782" max="11782"/>
    <col width="2.54296875" customWidth="1" style="662" min="11783" max="11783"/>
    <col width="17.54296875" customWidth="1" style="662" min="11784" max="11784"/>
    <col width="10.54296875" customWidth="1" style="662" min="11785" max="11786"/>
    <col width="2.453125" customWidth="1" style="662" min="11787" max="11787"/>
    <col width="10.54296875" customWidth="1" style="662" min="11788" max="11789"/>
    <col width="2.453125" customWidth="1" style="662" min="11790" max="11790"/>
    <col width="10.54296875" customWidth="1" style="662" min="11791" max="11792"/>
    <col width="1.1796875" customWidth="1" style="662" min="11793" max="11793"/>
    <col width="9.1796875" customWidth="1" style="662" min="11794" max="12032"/>
    <col width="2" customWidth="1" style="662" min="12033" max="12033"/>
    <col width="2.1796875" customWidth="1" style="662" min="12034" max="12034"/>
    <col width="10.54296875" customWidth="1" style="662" min="12035" max="12035"/>
    <col width="24.54296875" customWidth="1" style="662" min="12036" max="12036"/>
    <col width="6.54296875" customWidth="1" style="662" min="12037" max="12037"/>
    <col width="11.81640625" customWidth="1" style="662" min="12038" max="12038"/>
    <col width="2.54296875" customWidth="1" style="662" min="12039" max="12039"/>
    <col width="17.54296875" customWidth="1" style="662" min="12040" max="12040"/>
    <col width="10.54296875" customWidth="1" style="662" min="12041" max="12042"/>
    <col width="2.453125" customWidth="1" style="662" min="12043" max="12043"/>
    <col width="10.54296875" customWidth="1" style="662" min="12044" max="12045"/>
    <col width="2.453125" customWidth="1" style="662" min="12046" max="12046"/>
    <col width="10.54296875" customWidth="1" style="662" min="12047" max="12048"/>
    <col width="1.1796875" customWidth="1" style="662" min="12049" max="12049"/>
    <col width="9.1796875" customWidth="1" style="662" min="12050" max="12288"/>
    <col width="2" customWidth="1" style="662" min="12289" max="12289"/>
    <col width="2.1796875" customWidth="1" style="662" min="12290" max="12290"/>
    <col width="10.54296875" customWidth="1" style="662" min="12291" max="12291"/>
    <col width="24.54296875" customWidth="1" style="662" min="12292" max="12292"/>
    <col width="6.54296875" customWidth="1" style="662" min="12293" max="12293"/>
    <col width="11.81640625" customWidth="1" style="662" min="12294" max="12294"/>
    <col width="2.54296875" customWidth="1" style="662" min="12295" max="12295"/>
    <col width="17.54296875" customWidth="1" style="662" min="12296" max="12296"/>
    <col width="10.54296875" customWidth="1" style="662" min="12297" max="12298"/>
    <col width="2.453125" customWidth="1" style="662" min="12299" max="12299"/>
    <col width="10.54296875" customWidth="1" style="662" min="12300" max="12301"/>
    <col width="2.453125" customWidth="1" style="662" min="12302" max="12302"/>
    <col width="10.54296875" customWidth="1" style="662" min="12303" max="12304"/>
    <col width="1.1796875" customWidth="1" style="662" min="12305" max="12305"/>
    <col width="9.1796875" customWidth="1" style="662" min="12306" max="12544"/>
    <col width="2" customWidth="1" style="662" min="12545" max="12545"/>
    <col width="2.1796875" customWidth="1" style="662" min="12546" max="12546"/>
    <col width="10.54296875" customWidth="1" style="662" min="12547" max="12547"/>
    <col width="24.54296875" customWidth="1" style="662" min="12548" max="12548"/>
    <col width="6.54296875" customWidth="1" style="662" min="12549" max="12549"/>
    <col width="11.81640625" customWidth="1" style="662" min="12550" max="12550"/>
    <col width="2.54296875" customWidth="1" style="662" min="12551" max="12551"/>
    <col width="17.54296875" customWidth="1" style="662" min="12552" max="12552"/>
    <col width="10.54296875" customWidth="1" style="662" min="12553" max="12554"/>
    <col width="2.453125" customWidth="1" style="662" min="12555" max="12555"/>
    <col width="10.54296875" customWidth="1" style="662" min="12556" max="12557"/>
    <col width="2.453125" customWidth="1" style="662" min="12558" max="12558"/>
    <col width="10.54296875" customWidth="1" style="662" min="12559" max="12560"/>
    <col width="1.1796875" customWidth="1" style="662" min="12561" max="12561"/>
    <col width="9.1796875" customWidth="1" style="662" min="12562" max="12800"/>
    <col width="2" customWidth="1" style="662" min="12801" max="12801"/>
    <col width="2.1796875" customWidth="1" style="662" min="12802" max="12802"/>
    <col width="10.54296875" customWidth="1" style="662" min="12803" max="12803"/>
    <col width="24.54296875" customWidth="1" style="662" min="12804" max="12804"/>
    <col width="6.54296875" customWidth="1" style="662" min="12805" max="12805"/>
    <col width="11.81640625" customWidth="1" style="662" min="12806" max="12806"/>
    <col width="2.54296875" customWidth="1" style="662" min="12807" max="12807"/>
    <col width="17.54296875" customWidth="1" style="662" min="12808" max="12808"/>
    <col width="10.54296875" customWidth="1" style="662" min="12809" max="12810"/>
    <col width="2.453125" customWidth="1" style="662" min="12811" max="12811"/>
    <col width="10.54296875" customWidth="1" style="662" min="12812" max="12813"/>
    <col width="2.453125" customWidth="1" style="662" min="12814" max="12814"/>
    <col width="10.54296875" customWidth="1" style="662" min="12815" max="12816"/>
    <col width="1.1796875" customWidth="1" style="662" min="12817" max="12817"/>
    <col width="9.1796875" customWidth="1" style="662" min="12818" max="13056"/>
    <col width="2" customWidth="1" style="662" min="13057" max="13057"/>
    <col width="2.1796875" customWidth="1" style="662" min="13058" max="13058"/>
    <col width="10.54296875" customWidth="1" style="662" min="13059" max="13059"/>
    <col width="24.54296875" customWidth="1" style="662" min="13060" max="13060"/>
    <col width="6.54296875" customWidth="1" style="662" min="13061" max="13061"/>
    <col width="11.81640625" customWidth="1" style="662" min="13062" max="13062"/>
    <col width="2.54296875" customWidth="1" style="662" min="13063" max="13063"/>
    <col width="17.54296875" customWidth="1" style="662" min="13064" max="13064"/>
    <col width="10.54296875" customWidth="1" style="662" min="13065" max="13066"/>
    <col width="2.453125" customWidth="1" style="662" min="13067" max="13067"/>
    <col width="10.54296875" customWidth="1" style="662" min="13068" max="13069"/>
    <col width="2.453125" customWidth="1" style="662" min="13070" max="13070"/>
    <col width="10.54296875" customWidth="1" style="662" min="13071" max="13072"/>
    <col width="1.1796875" customWidth="1" style="662" min="13073" max="13073"/>
    <col width="9.1796875" customWidth="1" style="662" min="13074" max="13312"/>
    <col width="2" customWidth="1" style="662" min="13313" max="13313"/>
    <col width="2.1796875" customWidth="1" style="662" min="13314" max="13314"/>
    <col width="10.54296875" customWidth="1" style="662" min="13315" max="13315"/>
    <col width="24.54296875" customWidth="1" style="662" min="13316" max="13316"/>
    <col width="6.54296875" customWidth="1" style="662" min="13317" max="13317"/>
    <col width="11.81640625" customWidth="1" style="662" min="13318" max="13318"/>
    <col width="2.54296875" customWidth="1" style="662" min="13319" max="13319"/>
    <col width="17.54296875" customWidth="1" style="662" min="13320" max="13320"/>
    <col width="10.54296875" customWidth="1" style="662" min="13321" max="13322"/>
    <col width="2.453125" customWidth="1" style="662" min="13323" max="13323"/>
    <col width="10.54296875" customWidth="1" style="662" min="13324" max="13325"/>
    <col width="2.453125" customWidth="1" style="662" min="13326" max="13326"/>
    <col width="10.54296875" customWidth="1" style="662" min="13327" max="13328"/>
    <col width="1.1796875" customWidth="1" style="662" min="13329" max="13329"/>
    <col width="9.1796875" customWidth="1" style="662" min="13330" max="13568"/>
    <col width="2" customWidth="1" style="662" min="13569" max="13569"/>
    <col width="2.1796875" customWidth="1" style="662" min="13570" max="13570"/>
    <col width="10.54296875" customWidth="1" style="662" min="13571" max="13571"/>
    <col width="24.54296875" customWidth="1" style="662" min="13572" max="13572"/>
    <col width="6.54296875" customWidth="1" style="662" min="13573" max="13573"/>
    <col width="11.81640625" customWidth="1" style="662" min="13574" max="13574"/>
    <col width="2.54296875" customWidth="1" style="662" min="13575" max="13575"/>
    <col width="17.54296875" customWidth="1" style="662" min="13576" max="13576"/>
    <col width="10.54296875" customWidth="1" style="662" min="13577" max="13578"/>
    <col width="2.453125" customWidth="1" style="662" min="13579" max="13579"/>
    <col width="10.54296875" customWidth="1" style="662" min="13580" max="13581"/>
    <col width="2.453125" customWidth="1" style="662" min="13582" max="13582"/>
    <col width="10.54296875" customWidth="1" style="662" min="13583" max="13584"/>
    <col width="1.1796875" customWidth="1" style="662" min="13585" max="13585"/>
    <col width="9.1796875" customWidth="1" style="662" min="13586" max="13824"/>
    <col width="2" customWidth="1" style="662" min="13825" max="13825"/>
    <col width="2.1796875" customWidth="1" style="662" min="13826" max="13826"/>
    <col width="10.54296875" customWidth="1" style="662" min="13827" max="13827"/>
    <col width="24.54296875" customWidth="1" style="662" min="13828" max="13828"/>
    <col width="6.54296875" customWidth="1" style="662" min="13829" max="13829"/>
    <col width="11.81640625" customWidth="1" style="662" min="13830" max="13830"/>
    <col width="2.54296875" customWidth="1" style="662" min="13831" max="13831"/>
    <col width="17.54296875" customWidth="1" style="662" min="13832" max="13832"/>
    <col width="10.54296875" customWidth="1" style="662" min="13833" max="13834"/>
    <col width="2.453125" customWidth="1" style="662" min="13835" max="13835"/>
    <col width="10.54296875" customWidth="1" style="662" min="13836" max="13837"/>
    <col width="2.453125" customWidth="1" style="662" min="13838" max="13838"/>
    <col width="10.54296875" customWidth="1" style="662" min="13839" max="13840"/>
    <col width="1.1796875" customWidth="1" style="662" min="13841" max="13841"/>
    <col width="9.1796875" customWidth="1" style="662" min="13842" max="14080"/>
    <col width="2" customWidth="1" style="662" min="14081" max="14081"/>
    <col width="2.1796875" customWidth="1" style="662" min="14082" max="14082"/>
    <col width="10.54296875" customWidth="1" style="662" min="14083" max="14083"/>
    <col width="24.54296875" customWidth="1" style="662" min="14084" max="14084"/>
    <col width="6.54296875" customWidth="1" style="662" min="14085" max="14085"/>
    <col width="11.81640625" customWidth="1" style="662" min="14086" max="14086"/>
    <col width="2.54296875" customWidth="1" style="662" min="14087" max="14087"/>
    <col width="17.54296875" customWidth="1" style="662" min="14088" max="14088"/>
    <col width="10.54296875" customWidth="1" style="662" min="14089" max="14090"/>
    <col width="2.453125" customWidth="1" style="662" min="14091" max="14091"/>
    <col width="10.54296875" customWidth="1" style="662" min="14092" max="14093"/>
    <col width="2.453125" customWidth="1" style="662" min="14094" max="14094"/>
    <col width="10.54296875" customWidth="1" style="662" min="14095" max="14096"/>
    <col width="1.1796875" customWidth="1" style="662" min="14097" max="14097"/>
    <col width="9.1796875" customWidth="1" style="662" min="14098" max="14336"/>
    <col width="2" customWidth="1" style="662" min="14337" max="14337"/>
    <col width="2.1796875" customWidth="1" style="662" min="14338" max="14338"/>
    <col width="10.54296875" customWidth="1" style="662" min="14339" max="14339"/>
    <col width="24.54296875" customWidth="1" style="662" min="14340" max="14340"/>
    <col width="6.54296875" customWidth="1" style="662" min="14341" max="14341"/>
    <col width="11.81640625" customWidth="1" style="662" min="14342" max="14342"/>
    <col width="2.54296875" customWidth="1" style="662" min="14343" max="14343"/>
    <col width="17.54296875" customWidth="1" style="662" min="14344" max="14344"/>
    <col width="10.54296875" customWidth="1" style="662" min="14345" max="14346"/>
    <col width="2.453125" customWidth="1" style="662" min="14347" max="14347"/>
    <col width="10.54296875" customWidth="1" style="662" min="14348" max="14349"/>
    <col width="2.453125" customWidth="1" style="662" min="14350" max="14350"/>
    <col width="10.54296875" customWidth="1" style="662" min="14351" max="14352"/>
    <col width="1.1796875" customWidth="1" style="662" min="14353" max="14353"/>
    <col width="9.1796875" customWidth="1" style="662" min="14354" max="14592"/>
    <col width="2" customWidth="1" style="662" min="14593" max="14593"/>
    <col width="2.1796875" customWidth="1" style="662" min="14594" max="14594"/>
    <col width="10.54296875" customWidth="1" style="662" min="14595" max="14595"/>
    <col width="24.54296875" customWidth="1" style="662" min="14596" max="14596"/>
    <col width="6.54296875" customWidth="1" style="662" min="14597" max="14597"/>
    <col width="11.81640625" customWidth="1" style="662" min="14598" max="14598"/>
    <col width="2.54296875" customWidth="1" style="662" min="14599" max="14599"/>
    <col width="17.54296875" customWidth="1" style="662" min="14600" max="14600"/>
    <col width="10.54296875" customWidth="1" style="662" min="14601" max="14602"/>
    <col width="2.453125" customWidth="1" style="662" min="14603" max="14603"/>
    <col width="10.54296875" customWidth="1" style="662" min="14604" max="14605"/>
    <col width="2.453125" customWidth="1" style="662" min="14606" max="14606"/>
    <col width="10.54296875" customWidth="1" style="662" min="14607" max="14608"/>
    <col width="1.1796875" customWidth="1" style="662" min="14609" max="14609"/>
    <col width="9.1796875" customWidth="1" style="662" min="14610" max="14848"/>
    <col width="2" customWidth="1" style="662" min="14849" max="14849"/>
    <col width="2.1796875" customWidth="1" style="662" min="14850" max="14850"/>
    <col width="10.54296875" customWidth="1" style="662" min="14851" max="14851"/>
    <col width="24.54296875" customWidth="1" style="662" min="14852" max="14852"/>
    <col width="6.54296875" customWidth="1" style="662" min="14853" max="14853"/>
    <col width="11.81640625" customWidth="1" style="662" min="14854" max="14854"/>
    <col width="2.54296875" customWidth="1" style="662" min="14855" max="14855"/>
    <col width="17.54296875" customWidth="1" style="662" min="14856" max="14856"/>
    <col width="10.54296875" customWidth="1" style="662" min="14857" max="14858"/>
    <col width="2.453125" customWidth="1" style="662" min="14859" max="14859"/>
    <col width="10.54296875" customWidth="1" style="662" min="14860" max="14861"/>
    <col width="2.453125" customWidth="1" style="662" min="14862" max="14862"/>
    <col width="10.54296875" customWidth="1" style="662" min="14863" max="14864"/>
    <col width="1.1796875" customWidth="1" style="662" min="14865" max="14865"/>
    <col width="9.1796875" customWidth="1" style="662" min="14866" max="15104"/>
    <col width="2" customWidth="1" style="662" min="15105" max="15105"/>
    <col width="2.1796875" customWidth="1" style="662" min="15106" max="15106"/>
    <col width="10.54296875" customWidth="1" style="662" min="15107" max="15107"/>
    <col width="24.54296875" customWidth="1" style="662" min="15108" max="15108"/>
    <col width="6.54296875" customWidth="1" style="662" min="15109" max="15109"/>
    <col width="11.81640625" customWidth="1" style="662" min="15110" max="15110"/>
    <col width="2.54296875" customWidth="1" style="662" min="15111" max="15111"/>
    <col width="17.54296875" customWidth="1" style="662" min="15112" max="15112"/>
    <col width="10.54296875" customWidth="1" style="662" min="15113" max="15114"/>
    <col width="2.453125" customWidth="1" style="662" min="15115" max="15115"/>
    <col width="10.54296875" customWidth="1" style="662" min="15116" max="15117"/>
    <col width="2.453125" customWidth="1" style="662" min="15118" max="15118"/>
    <col width="10.54296875" customWidth="1" style="662" min="15119" max="15120"/>
    <col width="1.1796875" customWidth="1" style="662" min="15121" max="15121"/>
    <col width="9.1796875" customWidth="1" style="662" min="15122" max="15360"/>
    <col width="2" customWidth="1" style="662" min="15361" max="15361"/>
    <col width="2.1796875" customWidth="1" style="662" min="15362" max="15362"/>
    <col width="10.54296875" customWidth="1" style="662" min="15363" max="15363"/>
    <col width="24.54296875" customWidth="1" style="662" min="15364" max="15364"/>
    <col width="6.54296875" customWidth="1" style="662" min="15365" max="15365"/>
    <col width="11.81640625" customWidth="1" style="662" min="15366" max="15366"/>
    <col width="2.54296875" customWidth="1" style="662" min="15367" max="15367"/>
    <col width="17.54296875" customWidth="1" style="662" min="15368" max="15368"/>
    <col width="10.54296875" customWidth="1" style="662" min="15369" max="15370"/>
    <col width="2.453125" customWidth="1" style="662" min="15371" max="15371"/>
    <col width="10.54296875" customWidth="1" style="662" min="15372" max="15373"/>
    <col width="2.453125" customWidth="1" style="662" min="15374" max="15374"/>
    <col width="10.54296875" customWidth="1" style="662" min="15375" max="15376"/>
    <col width="1.1796875" customWidth="1" style="662" min="15377" max="15377"/>
    <col width="9.1796875" customWidth="1" style="662" min="15378" max="15616"/>
    <col width="2" customWidth="1" style="662" min="15617" max="15617"/>
    <col width="2.1796875" customWidth="1" style="662" min="15618" max="15618"/>
    <col width="10.54296875" customWidth="1" style="662" min="15619" max="15619"/>
    <col width="24.54296875" customWidth="1" style="662" min="15620" max="15620"/>
    <col width="6.54296875" customWidth="1" style="662" min="15621" max="15621"/>
    <col width="11.81640625" customWidth="1" style="662" min="15622" max="15622"/>
    <col width="2.54296875" customWidth="1" style="662" min="15623" max="15623"/>
    <col width="17.54296875" customWidth="1" style="662" min="15624" max="15624"/>
    <col width="10.54296875" customWidth="1" style="662" min="15625" max="15626"/>
    <col width="2.453125" customWidth="1" style="662" min="15627" max="15627"/>
    <col width="10.54296875" customWidth="1" style="662" min="15628" max="15629"/>
    <col width="2.453125" customWidth="1" style="662" min="15630" max="15630"/>
    <col width="10.54296875" customWidth="1" style="662" min="15631" max="15632"/>
    <col width="1.1796875" customWidth="1" style="662" min="15633" max="15633"/>
    <col width="9.1796875" customWidth="1" style="662" min="15634" max="15872"/>
    <col width="2" customWidth="1" style="662" min="15873" max="15873"/>
    <col width="2.1796875" customWidth="1" style="662" min="15874" max="15874"/>
    <col width="10.54296875" customWidth="1" style="662" min="15875" max="15875"/>
    <col width="24.54296875" customWidth="1" style="662" min="15876" max="15876"/>
    <col width="6.54296875" customWidth="1" style="662" min="15877" max="15877"/>
    <col width="11.81640625" customWidth="1" style="662" min="15878" max="15878"/>
    <col width="2.54296875" customWidth="1" style="662" min="15879" max="15879"/>
    <col width="17.54296875" customWidth="1" style="662" min="15880" max="15880"/>
    <col width="10.54296875" customWidth="1" style="662" min="15881" max="15882"/>
    <col width="2.453125" customWidth="1" style="662" min="15883" max="15883"/>
    <col width="10.54296875" customWidth="1" style="662" min="15884" max="15885"/>
    <col width="2.453125" customWidth="1" style="662" min="15886" max="15886"/>
    <col width="10.54296875" customWidth="1" style="662" min="15887" max="15888"/>
    <col width="1.1796875" customWidth="1" style="662" min="15889" max="15889"/>
    <col width="9.1796875" customWidth="1" style="662" min="15890" max="16128"/>
    <col width="2" customWidth="1" style="662" min="16129" max="16129"/>
    <col width="2.1796875" customWidth="1" style="662" min="16130" max="16130"/>
    <col width="10.54296875" customWidth="1" style="662" min="16131" max="16131"/>
    <col width="24.54296875" customWidth="1" style="662" min="16132" max="16132"/>
    <col width="6.54296875" customWidth="1" style="662" min="16133" max="16133"/>
    <col width="11.81640625" customWidth="1" style="662" min="16134" max="16134"/>
    <col width="2.54296875" customWidth="1" style="662" min="16135" max="16135"/>
    <col width="17.54296875" customWidth="1" style="662" min="16136" max="16136"/>
    <col width="10.54296875" customWidth="1" style="662" min="16137" max="16138"/>
    <col width="2.453125" customWidth="1" style="662" min="16139" max="16139"/>
    <col width="10.54296875" customWidth="1" style="662" min="16140" max="16141"/>
    <col width="2.453125" customWidth="1" style="662" min="16142" max="16142"/>
    <col width="10.54296875" customWidth="1" style="662" min="16143" max="16144"/>
    <col width="1.1796875" customWidth="1" style="662" min="16145" max="16145"/>
    <col width="9.1796875" customWidth="1" style="662" min="16146" max="16384"/>
  </cols>
  <sheetData>
    <row r="1" ht="32.25" customHeight="1">
      <c r="A1" s="877" t="inlineStr">
        <is>
          <t>MPCI</t>
        </is>
      </c>
      <c r="B1" s="437" t="n"/>
      <c r="C1" s="878" t="inlineStr">
        <is>
          <t>Blend Log</t>
        </is>
      </c>
      <c r="D1" s="856" t="n"/>
      <c r="E1" s="857" t="n"/>
      <c r="F1" s="627" t="inlineStr">
        <is>
          <t>DOC: FRM-122</t>
        </is>
      </c>
      <c r="G1" s="856" t="n"/>
      <c r="H1" s="856" t="n"/>
      <c r="I1" s="630" t="inlineStr">
        <is>
          <t>REVISION LEVEL: 019</t>
        </is>
      </c>
      <c r="J1" s="856" t="n"/>
      <c r="K1" s="632" t="inlineStr">
        <is>
          <t>ISSUE DATE:  2/11/22</t>
        </is>
      </c>
      <c r="L1" s="856" t="n"/>
      <c r="M1" s="856" t="n"/>
      <c r="N1" s="879" t="inlineStr">
        <is>
          <t>Process  Step # 3 - "Blending" and                                                                            Process Step # 4 "Feeding"</t>
        </is>
      </c>
      <c r="O1" s="437" t="n"/>
      <c r="P1" s="437" t="n"/>
      <c r="Q1" s="859" t="n"/>
      <c r="R1" s="46" t="n"/>
      <c r="S1" s="46" t="n"/>
      <c r="T1" s="46" t="n"/>
      <c r="U1" s="46" t="n"/>
      <c r="V1" s="46" t="n"/>
      <c r="W1" s="46" t="n"/>
      <c r="X1" s="46" t="n"/>
      <c r="Y1" s="46" t="n"/>
      <c r="Z1" s="46" t="n"/>
      <c r="AA1" s="46" t="n"/>
      <c r="AB1" s="46" t="n"/>
      <c r="AC1" s="46" t="n"/>
      <c r="AD1" s="46" t="n"/>
      <c r="AE1" s="46" t="n"/>
      <c r="AF1" s="46" t="n"/>
      <c r="AG1" s="46" t="n"/>
      <c r="AH1" s="46" t="n"/>
      <c r="AI1" s="46" t="n"/>
      <c r="AJ1" s="46" t="n"/>
      <c r="AK1" s="46" t="n"/>
      <c r="AL1" s="46" t="n"/>
      <c r="AM1" s="46" t="n"/>
      <c r="AN1" s="46" t="n"/>
      <c r="AO1" s="46" t="n"/>
      <c r="AP1" s="46" t="n"/>
      <c r="AQ1" s="46" t="n"/>
      <c r="AR1" s="46" t="n"/>
      <c r="AS1" s="46" t="n"/>
      <c r="AT1" s="46" t="n"/>
      <c r="AU1" s="46" t="n"/>
      <c r="AV1" s="46" t="n"/>
      <c r="AW1" s="46" t="n"/>
      <c r="AX1" s="46" t="n"/>
      <c r="AY1" s="46" t="n"/>
      <c r="AZ1" s="46" t="n"/>
      <c r="BA1" s="46" t="n"/>
      <c r="BB1" s="46" t="n"/>
      <c r="BC1" s="46" t="n"/>
      <c r="BD1" s="46" t="n"/>
      <c r="BE1" s="46" t="n"/>
      <c r="BF1" s="46" t="n"/>
      <c r="BG1" s="46" t="n"/>
      <c r="BH1" s="46" t="n"/>
      <c r="BI1" s="46" t="n"/>
      <c r="BJ1" s="46" t="n"/>
      <c r="BK1" s="46" t="n"/>
      <c r="BL1" s="46" t="n"/>
      <c r="BM1" s="46" t="n"/>
      <c r="BN1" s="46" t="n"/>
      <c r="BP1" s="46" t="n"/>
      <c r="BQ1" s="46" t="n"/>
      <c r="BR1" s="46" t="n"/>
      <c r="BS1" s="46" t="n"/>
      <c r="BT1" s="46" t="n"/>
      <c r="BU1" s="46" t="n"/>
      <c r="BV1" s="46" t="n"/>
      <c r="BW1" s="46" t="n"/>
      <c r="BX1" s="46" t="n"/>
      <c r="BY1" s="46" t="n"/>
      <c r="BZ1" s="46" t="n"/>
      <c r="CA1" s="46" t="n"/>
      <c r="CB1" s="46" t="n"/>
      <c r="CC1" s="46" t="n"/>
    </row>
    <row r="2" ht="30" customHeight="1">
      <c r="A2" s="474" t="n"/>
      <c r="B2" s="441" t="n"/>
      <c r="C2" s="880" t="inlineStr">
        <is>
          <t>Form Reviewed by:  Quality Coordinator</t>
        </is>
      </c>
      <c r="D2" s="857" t="n"/>
      <c r="E2" s="880" t="inlineStr">
        <is>
          <t>Form Approved by: Site Manager</t>
        </is>
      </c>
      <c r="F2" s="856" t="n"/>
      <c r="G2" s="856" t="n"/>
      <c r="H2" s="857" t="n"/>
      <c r="I2" s="881" t="inlineStr">
        <is>
          <t>Blending Instructions (reference PRO007, Preblends)</t>
        </is>
      </c>
      <c r="J2" s="856" t="n"/>
      <c r="K2" s="856" t="n"/>
      <c r="L2" s="856" t="n"/>
      <c r="M2" s="857" t="n"/>
      <c r="N2" s="474" t="n"/>
      <c r="O2" s="441" t="n"/>
      <c r="P2" s="441" t="n"/>
      <c r="Q2" s="442" t="n"/>
      <c r="R2" s="46" t="n"/>
      <c r="S2" s="46" t="n"/>
      <c r="T2" s="46" t="n"/>
      <c r="U2" s="46" t="n"/>
      <c r="V2" s="46" t="n"/>
      <c r="W2" s="46" t="n"/>
      <c r="X2" s="46" t="n"/>
      <c r="Y2" s="46" t="n"/>
      <c r="Z2" s="46" t="n"/>
      <c r="AA2" s="46" t="n"/>
      <c r="AB2" s="46" t="n"/>
      <c r="AC2" s="46" t="n"/>
      <c r="AD2" s="46" t="n"/>
      <c r="AE2" s="46" t="n"/>
      <c r="AF2" s="46" t="n"/>
      <c r="AG2" s="46" t="n"/>
      <c r="AH2" s="46" t="n"/>
      <c r="AI2" s="46" t="n"/>
      <c r="AJ2" s="46" t="n"/>
      <c r="AK2" s="46" t="n"/>
      <c r="AL2" s="46" t="n"/>
      <c r="AM2" s="46" t="n"/>
      <c r="AN2" s="46" t="n"/>
      <c r="AO2" s="46" t="n"/>
      <c r="AP2" s="46" t="n"/>
      <c r="AQ2" s="46" t="n"/>
      <c r="AR2" s="46" t="n"/>
      <c r="AS2" s="46" t="n"/>
      <c r="AT2" s="46" t="n"/>
      <c r="AU2" s="46" t="n"/>
      <c r="AV2" s="46" t="n"/>
      <c r="AW2" s="46" t="n"/>
      <c r="AX2" s="46" t="n"/>
      <c r="AY2" s="46" t="n"/>
      <c r="AZ2" s="46" t="n"/>
      <c r="BA2" s="46" t="n"/>
      <c r="BB2" s="46" t="n"/>
      <c r="BC2" s="46" t="n"/>
      <c r="BD2" s="46" t="n"/>
      <c r="BE2" s="46" t="n"/>
      <c r="BF2" s="46" t="n"/>
      <c r="BG2" s="46" t="n"/>
      <c r="BH2" s="46" t="n"/>
      <c r="BI2" s="46" t="n"/>
      <c r="BJ2" s="46" t="n"/>
      <c r="BK2" s="46" t="n"/>
      <c r="BL2" s="46" t="n"/>
      <c r="BM2" s="46" t="n"/>
      <c r="BN2" s="46" t="n"/>
      <c r="BP2" s="47" t="n"/>
      <c r="BQ2" s="47" t="n"/>
      <c r="BR2" s="47" t="n"/>
      <c r="BS2" s="47" t="n"/>
      <c r="BT2" s="47" t="n"/>
      <c r="BU2" s="47" t="n"/>
      <c r="BV2" s="47" t="n"/>
      <c r="BW2" s="47" t="n"/>
      <c r="BX2" s="47" t="n"/>
      <c r="BY2" s="47" t="n"/>
      <c r="BZ2" s="47" t="n"/>
      <c r="CA2" s="47" t="n"/>
      <c r="CB2" s="47" t="n"/>
      <c r="CC2" s="47" t="n"/>
    </row>
    <row r="3" ht="20.15" customFormat="1" customHeight="1" s="88">
      <c r="C3" s="89" t="n"/>
      <c r="D3" s="90" t="inlineStr">
        <is>
          <t xml:space="preserve">Production Line: </t>
        </is>
      </c>
      <c r="E3" s="92">
        <f>IF(ProductionLineNumber&lt;&gt;0,ProductionLineNumber,"")</f>
        <v/>
      </c>
      <c r="F3" s="92" t="n"/>
      <c r="G3" s="93" t="n"/>
      <c r="H3" s="94" t="inlineStr">
        <is>
          <t xml:space="preserve">1)   Use table scale for any items up to 30 lbs. </t>
        </is>
      </c>
      <c r="I3" s="94" t="n"/>
      <c r="J3" s="94" t="n"/>
      <c r="K3" s="94" t="n"/>
      <c r="L3" s="94" t="n"/>
      <c r="M3" s="94" t="n"/>
      <c r="N3" s="94" t="n"/>
      <c r="O3" s="94" t="n"/>
      <c r="P3" s="94" t="n"/>
      <c r="U3" s="89" t="n"/>
    </row>
    <row r="4" ht="20.15" customFormat="1" customHeight="1" s="53">
      <c r="C4" s="93" t="n"/>
      <c r="D4" s="90" t="inlineStr">
        <is>
          <t xml:space="preserve">          Feeder #: </t>
        </is>
      </c>
      <c r="E4" s="95" t="n">
        <v>9</v>
      </c>
      <c r="F4" s="95" t="n"/>
      <c r="G4" s="93" t="n"/>
      <c r="H4" s="94" t="inlineStr">
        <is>
          <t>2)  Weigh to nearest 0.5 lb when using floor scale; 0.005 lb when using table scale.</t>
        </is>
      </c>
      <c r="I4" s="96" t="n"/>
      <c r="J4" s="96" t="n"/>
      <c r="K4" s="94" t="n"/>
      <c r="L4" s="97" t="n"/>
      <c r="M4" s="96" t="n"/>
      <c r="N4" s="96" t="n"/>
      <c r="O4" s="96" t="n"/>
      <c r="P4" s="96" t="n"/>
      <c r="Q4" s="662" t="n"/>
    </row>
    <row r="5" ht="20.15" customFormat="1" customHeight="1" s="53">
      <c r="C5" s="93" t="n"/>
      <c r="D5" s="90" t="inlineStr">
        <is>
          <t xml:space="preserve">     Job Number: </t>
        </is>
      </c>
      <c r="E5" s="95">
        <f>IF(JobNumber&lt;&gt;0,JobNumber,"")</f>
        <v/>
      </c>
      <c r="F5" s="95" t="n"/>
      <c r="G5" s="93" t="n"/>
      <c r="H5" s="94" t="inlineStr">
        <is>
          <t>3)  Load RM's into Mixaco bowl in the order listed below.</t>
        </is>
      </c>
      <c r="I5" s="96" t="n"/>
      <c r="J5" s="96" t="n"/>
      <c r="K5" s="94" t="n"/>
      <c r="L5" s="96" t="n"/>
      <c r="M5" s="96" t="n"/>
      <c r="N5" s="96" t="n"/>
      <c r="O5" s="96" t="n"/>
      <c r="P5" s="97" t="n"/>
      <c r="Q5" s="98" t="n"/>
      <c r="S5" s="99" t="n"/>
    </row>
    <row r="6" ht="20.15" customFormat="1" customHeight="1" s="53">
      <c r="C6" s="93" t="n"/>
      <c r="D6" s="90" t="inlineStr">
        <is>
          <t xml:space="preserve">      Lot Number: </t>
        </is>
      </c>
      <c r="E6" s="95">
        <f>IF(LotOrCampaignNumber&lt;&gt;0,LotOrCampaignNumber,"")</f>
        <v/>
      </c>
      <c r="F6" s="95" t="n"/>
      <c r="G6" s="93" t="n"/>
      <c r="H6" s="100" t="inlineStr">
        <is>
          <t>4)  Spin 1 min., Tilt down/up, Spin 3 min., scrape &amp; spin 1 more min IF needed.</t>
        </is>
      </c>
      <c r="I6" s="94" t="n"/>
      <c r="J6" s="96" t="n"/>
      <c r="K6" s="96" t="n"/>
      <c r="L6" s="96" t="n"/>
      <c r="M6" s="96" t="n"/>
      <c r="N6" s="96" t="n"/>
      <c r="O6" s="94" t="n"/>
      <c r="P6" s="97" t="n"/>
      <c r="Q6" s="98" t="n"/>
    </row>
    <row r="7" ht="20.15" customFormat="1" customHeight="1" s="53">
      <c r="C7" s="93" t="n"/>
      <c r="D7" s="90" t="inlineStr">
        <is>
          <t xml:space="preserve">   Product Type: </t>
        </is>
      </c>
      <c r="E7" s="95">
        <f>IF(GradeColor&lt;&gt;0,GradeColor,"")</f>
        <v/>
      </c>
      <c r="F7" s="95" t="n"/>
      <c r="G7" s="92" t="n"/>
      <c r="H7" s="101" t="inlineStr">
        <is>
          <t>4b) Pellets-- Spin 3 mins., Tilt down/up scrape, then spin additional 3 minutes</t>
        </is>
      </c>
      <c r="I7" s="102" t="n"/>
      <c r="J7" s="103" t="n"/>
      <c r="K7" s="103" t="n"/>
      <c r="L7" s="103" t="n"/>
      <c r="M7" s="103" t="n"/>
      <c r="N7" s="103" t="n"/>
      <c r="O7" s="104" t="n"/>
      <c r="P7" s="48" t="n"/>
    </row>
    <row r="8" ht="28.5" customFormat="1" customHeight="1" s="53">
      <c r="C8" s="93" t="n"/>
      <c r="D8" s="90" t="inlineStr">
        <is>
          <t xml:space="preserve">      # of Blends: </t>
        </is>
      </c>
      <c r="E8" s="518">
        <f>IF(AuxPBBowlCount&lt;&gt;0,AuxPBBowlCount,"")</f>
        <v/>
      </c>
      <c r="F8" s="95" t="n"/>
      <c r="G8" s="105" t="n"/>
      <c r="H8" s="289" t="n"/>
      <c r="I8" s="94" t="inlineStr">
        <is>
          <t>Pigment adds:  One spin at 1 minute.</t>
        </is>
      </c>
      <c r="J8" s="96" t="n"/>
      <c r="K8" s="96" t="n"/>
      <c r="L8" s="96" t="n"/>
      <c r="M8" s="96" t="n"/>
      <c r="N8" s="96" t="n"/>
      <c r="O8" s="96" t="n"/>
      <c r="P8" s="96" t="n"/>
    </row>
    <row r="9" ht="17.15" customFormat="1" customHeight="1" s="53">
      <c r="C9" s="93" t="n"/>
      <c r="D9" s="50" t="n"/>
      <c r="E9" s="50" t="n"/>
      <c r="F9" s="93" t="n"/>
      <c r="G9" s="93" t="n"/>
      <c r="I9" s="107" t="inlineStr">
        <is>
          <t>Check Dispersion after each spin--notify supervision for irregularities</t>
        </is>
      </c>
      <c r="J9" s="107" t="n"/>
      <c r="K9" s="107" t="n"/>
      <c r="L9" s="108" t="n"/>
      <c r="M9" s="109" t="n"/>
      <c r="N9" s="109" t="n"/>
      <c r="O9" s="107" t="n"/>
      <c r="P9" s="107" t="n"/>
    </row>
    <row r="10" ht="13.5" customFormat="1" customHeight="1" s="53">
      <c r="C10" s="110" t="inlineStr">
        <is>
          <t>Prior to making 1st blend</t>
        </is>
      </c>
      <c r="D10" s="111" t="n"/>
      <c r="E10" s="112" t="n"/>
      <c r="F10" s="113" t="n"/>
      <c r="G10" s="113" t="n"/>
      <c r="H10" s="114" t="n"/>
      <c r="L10" s="93" t="n"/>
      <c r="M10" s="662" t="n"/>
      <c r="N10" s="662" t="n"/>
    </row>
    <row r="11" ht="15" customFormat="1" customHeight="1" s="53">
      <c r="C11" s="115" t="inlineStr">
        <is>
          <t>Verify PIP to R#s and Material</t>
        </is>
      </c>
      <c r="D11" s="116" t="n"/>
      <c r="E11" s="117" t="n"/>
      <c r="F11" s="651" t="inlineStr">
        <is>
          <t>Date &amp; Batch blended by:</t>
        </is>
      </c>
      <c r="G11" s="882" t="n"/>
      <c r="H11" s="883" t="n"/>
      <c r="I11" s="118" t="n"/>
      <c r="J11" s="119" t="n"/>
      <c r="K11" s="120" t="n"/>
      <c r="L11" s="119" t="n"/>
      <c r="M11" s="119" t="n"/>
      <c r="N11" s="120" t="n"/>
      <c r="O11" s="119" t="n"/>
      <c r="P11" s="119" t="n"/>
      <c r="Q11" s="121" t="n"/>
    </row>
    <row r="12" ht="15" customFormat="1" customHeight="1" s="53">
      <c r="C12" s="115" t="inlineStr">
        <is>
          <t>Blender Signoff</t>
        </is>
      </c>
      <c r="D12" s="116" t="n"/>
      <c r="E12" s="117" t="n"/>
      <c r="F12" s="650" t="inlineStr">
        <is>
          <t>Teams :</t>
        </is>
      </c>
      <c r="G12" s="882" t="n"/>
      <c r="H12" s="882" t="n"/>
      <c r="I12" s="617" t="inlineStr">
        <is>
          <t>A       B      C      D</t>
        </is>
      </c>
      <c r="J12" s="883" t="n"/>
      <c r="K12" s="122" t="n"/>
      <c r="L12" s="617" t="inlineStr">
        <is>
          <t>A       B      C      D</t>
        </is>
      </c>
      <c r="M12" s="883" t="n"/>
      <c r="N12" s="122" t="n"/>
      <c r="O12" s="617" t="inlineStr">
        <is>
          <t>A       B      C      D</t>
        </is>
      </c>
      <c r="P12" s="883" t="n"/>
      <c r="Q12" s="662" t="n"/>
    </row>
    <row r="13" ht="12.75" customFormat="1" customHeight="1" s="619">
      <c r="C13" s="124" t="inlineStr">
        <is>
          <t>RM</t>
        </is>
      </c>
      <c r="D13" s="618" t="n"/>
      <c r="F13" s="652" t="inlineStr">
        <is>
          <t>Lbs per</t>
        </is>
      </c>
      <c r="G13" s="126" t="n"/>
      <c r="H13" s="127" t="inlineStr">
        <is>
          <t>Receiver</t>
        </is>
      </c>
      <c r="I13" s="128" t="inlineStr">
        <is>
          <t>Batch #</t>
        </is>
      </c>
      <c r="J13" s="127" t="inlineStr">
        <is>
          <t>Operator</t>
        </is>
      </c>
      <c r="K13" s="129" t="n"/>
      <c r="L13" s="130" t="inlineStr">
        <is>
          <t>Batch #</t>
        </is>
      </c>
      <c r="M13" s="127" t="inlineStr">
        <is>
          <t>Operator</t>
        </is>
      </c>
      <c r="N13" s="129" t="n"/>
      <c r="O13" s="130" t="inlineStr">
        <is>
          <t>Batch #</t>
        </is>
      </c>
      <c r="P13" s="127" t="inlineStr">
        <is>
          <t>Operator</t>
        </is>
      </c>
      <c r="Q13" s="131" t="inlineStr">
        <is>
          <t xml:space="preserve"> </t>
        </is>
      </c>
    </row>
    <row r="14" ht="13" customFormat="1" customHeight="1" s="619" thickBot="1">
      <c r="C14" s="124" t="inlineStr">
        <is>
          <t>Parts</t>
        </is>
      </c>
      <c r="D14" s="652" t="inlineStr">
        <is>
          <t>RM desc.</t>
        </is>
      </c>
      <c r="F14" s="652" t="inlineStr">
        <is>
          <t>Batch</t>
        </is>
      </c>
      <c r="G14" s="126" t="n"/>
      <c r="H14" s="127" t="inlineStr">
        <is>
          <t>Number(s)</t>
        </is>
      </c>
      <c r="I14" s="127" t="inlineStr">
        <is>
          <t>Weigh-up lbs</t>
        </is>
      </c>
      <c r="J14" s="127" t="inlineStr">
        <is>
          <t>check off</t>
        </is>
      </c>
      <c r="K14" s="132" t="n"/>
      <c r="L14" s="127" t="inlineStr">
        <is>
          <t>Weigh-up lbs</t>
        </is>
      </c>
      <c r="M14" s="127" t="inlineStr">
        <is>
          <t>check off</t>
        </is>
      </c>
      <c r="N14" s="132" t="n"/>
      <c r="O14" s="127" t="inlineStr">
        <is>
          <t>Weigh-up lbs</t>
        </is>
      </c>
      <c r="P14" s="127" t="inlineStr">
        <is>
          <t>check off</t>
        </is>
      </c>
      <c r="Q14" s="618" t="inlineStr">
        <is>
          <t xml:space="preserve"> </t>
        </is>
      </c>
    </row>
    <row r="15" ht="20.15" customFormat="1" customHeight="1" s="619" thickBot="1">
      <c r="C15" s="884" t="inlineStr">
        <is>
          <t>#1</t>
        </is>
      </c>
      <c r="D15" s="885">
        <f>IF(F16="","",IF(F16&gt;30,F16+0.5,F16+0.005))</f>
        <v/>
      </c>
      <c r="E15" s="136" t="inlineStr">
        <is>
          <t>Max</t>
        </is>
      </c>
      <c r="F15" s="137">
        <f>IF(AND(F16&lt;0.1,F16&gt;0),"WIL"," ")</f>
        <v/>
      </c>
      <c r="G15" s="138" t="n"/>
      <c r="H15" s="139" t="n"/>
      <c r="I15" s="140" t="n"/>
      <c r="J15" s="141" t="n"/>
      <c r="L15" s="142" t="n"/>
      <c r="M15" s="141" t="n"/>
      <c r="N15" s="143" t="n"/>
      <c r="O15" s="142" t="n"/>
      <c r="P15" s="141" t="n"/>
    </row>
    <row r="16" ht="20.15" customFormat="1" customHeight="1" s="619" thickBot="1">
      <c r="C16" s="886">
        <f>AuxBlend01Parts</f>
        <v/>
      </c>
      <c r="D16" s="887">
        <f>AuxBlend01RMName</f>
        <v/>
      </c>
      <c r="E16" s="888" t="n"/>
      <c r="F16" s="889">
        <f>IF(C16="","",IF((C16/$C$63*$F$63)&lt;30,ROUND(C16/$C$63*$F$63,3),FIXED(C16/$C$63*$F$63,2)))</f>
        <v/>
      </c>
      <c r="G16" s="145">
        <f>IF(AND(F15&lt;0.11,F15&gt;0),"GR"," ")</f>
        <v/>
      </c>
      <c r="H16" s="139" t="n"/>
      <c r="I16" s="146" t="n"/>
      <c r="J16" s="147" t="n"/>
      <c r="L16" s="148" t="n"/>
      <c r="M16" s="147" t="n"/>
      <c r="N16" s="143" t="n"/>
      <c r="O16" s="890" t="n"/>
      <c r="P16" s="147" t="n"/>
    </row>
    <row r="17" ht="20.15" customFormat="1" customHeight="1" s="619" thickBot="1">
      <c r="C17" s="891" t="n"/>
      <c r="D17" s="892">
        <f>IF(F16="","",IF(F16&gt;30,F16-0.5,F16-0.005))</f>
        <v/>
      </c>
      <c r="E17" s="151" t="inlineStr">
        <is>
          <t>Min</t>
        </is>
      </c>
      <c r="F17" s="152">
        <f>IF(AND(F16&lt;0.11,F16&gt;0),ROUND(454*F16,2)," ")</f>
        <v/>
      </c>
      <c r="G17" s="153">
        <f>IF(AND(F16&lt;0.11,F16&gt;0),"GR"," ")</f>
        <v/>
      </c>
      <c r="H17" s="139" t="n"/>
      <c r="I17" s="154" t="n"/>
      <c r="J17" s="155" t="n"/>
      <c r="L17" s="156" t="n"/>
      <c r="M17" s="155" t="n"/>
      <c r="N17" s="143" t="n"/>
      <c r="O17" s="157" t="n"/>
      <c r="P17" s="155" t="n"/>
    </row>
    <row r="18" ht="20.15" customFormat="1" customHeight="1" s="619" thickBot="1">
      <c r="C18" s="893" t="inlineStr">
        <is>
          <t>#2</t>
        </is>
      </c>
      <c r="D18" s="885">
        <f>IF(F19="","",IF(F19&gt;30,F19+0.5,F19+0.005))</f>
        <v/>
      </c>
      <c r="E18" s="159" t="inlineStr">
        <is>
          <t>Max</t>
        </is>
      </c>
      <c r="F18" s="137">
        <f>IF(AND(F19&lt;0.1,F19&gt;0),"WIL"," ")</f>
        <v/>
      </c>
      <c r="G18" s="138" t="n"/>
      <c r="H18" s="139" t="n"/>
      <c r="I18" s="140" t="n"/>
      <c r="J18" s="141" t="n"/>
      <c r="L18" s="142" t="n"/>
      <c r="M18" s="141" t="n"/>
      <c r="O18" s="142" t="n"/>
      <c r="P18" s="141" t="n"/>
    </row>
    <row r="19" ht="20.15" customFormat="1" customHeight="1" s="619" thickBot="1">
      <c r="C19" s="886">
        <f>AuxBlend02Parts</f>
        <v/>
      </c>
      <c r="D19" s="887">
        <f>AuxBlend02RMName</f>
        <v/>
      </c>
      <c r="E19" s="888" t="n"/>
      <c r="F19" s="889">
        <f>IF(C19="","",IF((C19/$C$63*$F$63)&lt;30,ROUND(C19/$C$63*$F$63,3),FIXED(C19/$C$63*$F$63,2)))</f>
        <v/>
      </c>
      <c r="G19" s="145">
        <f>IF(AND(F18&lt;0.11,F18&gt;0),"GR"," ")</f>
        <v/>
      </c>
      <c r="H19" s="139" t="n"/>
      <c r="I19" s="146" t="n"/>
      <c r="J19" s="147" t="n"/>
      <c r="L19" s="148" t="n"/>
      <c r="M19" s="147" t="n"/>
      <c r="O19" s="148" t="n"/>
      <c r="P19" s="147" t="n"/>
    </row>
    <row r="20" ht="20.15" customFormat="1" customHeight="1" s="619" thickBot="1">
      <c r="C20" s="891" t="n"/>
      <c r="D20" s="892">
        <f>IF(F19="","",IF(F19&gt;30,F19-0.5,F19-0.005))</f>
        <v/>
      </c>
      <c r="E20" s="160" t="inlineStr">
        <is>
          <t>Min</t>
        </is>
      </c>
      <c r="F20" s="152">
        <f>IF(AND(F19&lt;0.11,F19&gt;0),ROUND(454*F19,2)," ")</f>
        <v/>
      </c>
      <c r="G20" s="153">
        <f>IF(AND(F19&lt;0.11,F19&gt;0),"GR"," ")</f>
        <v/>
      </c>
      <c r="H20" s="139" t="n"/>
      <c r="I20" s="154" t="n"/>
      <c r="J20" s="155" t="n"/>
      <c r="L20" s="156" t="n"/>
      <c r="M20" s="155" t="n"/>
      <c r="O20" s="157" t="n"/>
      <c r="P20" s="155" t="n"/>
    </row>
    <row r="21" ht="20.15" customFormat="1" customHeight="1" s="619" thickBot="1">
      <c r="C21" s="893" t="inlineStr">
        <is>
          <t>#3</t>
        </is>
      </c>
      <c r="D21" s="885">
        <f>IF(F22="","",IF(F22&gt;30,F22+0.5,F22+0.005))</f>
        <v/>
      </c>
      <c r="E21" s="159" t="inlineStr">
        <is>
          <t>Max</t>
        </is>
      </c>
      <c r="F21" s="137">
        <f>IF(AND(F22&lt;0.1,F22&gt;0),"WIL"," ")</f>
        <v/>
      </c>
      <c r="G21" s="138" t="n"/>
      <c r="H21" s="139" t="n"/>
      <c r="I21" s="140" t="n"/>
      <c r="J21" s="141" t="n"/>
      <c r="L21" s="142" t="n"/>
      <c r="M21" s="141" t="n"/>
      <c r="N21" s="143" t="n"/>
      <c r="O21" s="142" t="n"/>
      <c r="P21" s="141" t="n"/>
    </row>
    <row r="22" ht="20.15" customFormat="1" customHeight="1" s="619" thickBot="1">
      <c r="C22" s="886">
        <f>AuxBlend03Parts</f>
        <v/>
      </c>
      <c r="D22" s="887">
        <f>AuxBlend03RMName</f>
        <v/>
      </c>
      <c r="E22" s="888" t="n"/>
      <c r="F22" s="889">
        <f>IF(C22="","",IF((C22/$C$63*$F$63)&lt;30,ROUND(C22/$C$63*$F$63,3),FIXED(C22/$C$63*$F$63,2)))</f>
        <v/>
      </c>
      <c r="G22" s="145">
        <f>IF(AND(F21&lt;0.11,F21&gt;0),"GR"," ")</f>
        <v/>
      </c>
      <c r="H22" s="139" t="n"/>
      <c r="I22" s="146" t="n"/>
      <c r="J22" s="147" t="n"/>
      <c r="L22" s="148" t="n"/>
      <c r="M22" s="147" t="n"/>
      <c r="N22" s="143" t="n"/>
      <c r="O22" s="148" t="n"/>
      <c r="P22" s="147" t="n"/>
    </row>
    <row r="23" ht="20.15" customFormat="1" customHeight="1" s="619" thickBot="1">
      <c r="C23" s="891" t="n"/>
      <c r="D23" s="892">
        <f>IF(F22="","",IF(F22&gt;30,F22-0.5,F22-0.005))</f>
        <v/>
      </c>
      <c r="E23" s="160" t="inlineStr">
        <is>
          <t>Min</t>
        </is>
      </c>
      <c r="F23" s="152">
        <f>IF(AND(F22&lt;0.11,F22&gt;0),ROUND(454*F22,2)," ")</f>
        <v/>
      </c>
      <c r="G23" s="153">
        <f>IF(AND(F22&lt;0.11,F22&gt;0),"GR"," ")</f>
        <v/>
      </c>
      <c r="H23" s="139" t="n"/>
      <c r="I23" s="154" t="n"/>
      <c r="J23" s="155" t="n"/>
      <c r="L23" s="156" t="n"/>
      <c r="M23" s="155" t="n"/>
      <c r="N23" s="143" t="n"/>
      <c r="O23" s="157" t="n"/>
      <c r="P23" s="155" t="n"/>
    </row>
    <row r="24" ht="20.15" customFormat="1" customHeight="1" s="619" thickBot="1">
      <c r="C24" s="893" t="inlineStr">
        <is>
          <t>#4</t>
        </is>
      </c>
      <c r="D24" s="885">
        <f>IF(F25="","",IF(F25&gt;30,F25+0.5,F25+0.005))</f>
        <v/>
      </c>
      <c r="E24" s="159" t="inlineStr">
        <is>
          <t>Max</t>
        </is>
      </c>
      <c r="F24" s="137">
        <f>IF(AND(F25&lt;0.1,F25&gt;0),"WIL"," ")</f>
        <v/>
      </c>
      <c r="G24" s="138" t="n"/>
      <c r="H24" s="139" t="n"/>
      <c r="I24" s="140" t="n"/>
      <c r="J24" s="141" t="n"/>
      <c r="L24" s="142" t="n"/>
      <c r="M24" s="141" t="n"/>
      <c r="N24" s="143" t="n"/>
      <c r="O24" s="142" t="n"/>
      <c r="P24" s="141" t="n"/>
    </row>
    <row r="25" ht="20.15" customFormat="1" customHeight="1" s="619" thickBot="1">
      <c r="C25" s="886">
        <f>AuxBlend04Parts</f>
        <v/>
      </c>
      <c r="D25" s="887">
        <f>AuxBlend04RMName</f>
        <v/>
      </c>
      <c r="E25" s="888" t="n"/>
      <c r="F25" s="889">
        <f>IF(C25="","",IF((C25/$C$63*$F$63)&lt;30,ROUND(C25/$C$63*$F$63,3),FIXED(C25/$C$63*$F$63,2)))</f>
        <v/>
      </c>
      <c r="G25" s="145">
        <f>IF(AND(F24&lt;0.11,F24&gt;0),"GR"," ")</f>
        <v/>
      </c>
      <c r="H25" s="139" t="n"/>
      <c r="I25" s="146" t="n"/>
      <c r="J25" s="147" t="n"/>
      <c r="L25" s="148" t="n"/>
      <c r="M25" s="147" t="n"/>
      <c r="N25" s="143" t="n"/>
      <c r="O25" s="148" t="n"/>
      <c r="P25" s="147" t="n"/>
    </row>
    <row r="26" ht="19.5" customFormat="1" customHeight="1" s="619" thickBot="1">
      <c r="C26" s="891" t="n"/>
      <c r="D26" s="892">
        <f>IF(F25="","",IF(F25&gt;30,F25-0.5,F25-0.005))</f>
        <v/>
      </c>
      <c r="E26" s="160" t="inlineStr">
        <is>
          <t>Min</t>
        </is>
      </c>
      <c r="F26" s="152">
        <f>IF(AND(F25&lt;0.11,F25&gt;0),ROUND(454*F25,2)," ")</f>
        <v/>
      </c>
      <c r="G26" s="153">
        <f>IF(AND(F25&lt;0.11,F25&gt;0),"GR"," ")</f>
        <v/>
      </c>
      <c r="H26" s="139" t="n"/>
      <c r="I26" s="154" t="n"/>
      <c r="J26" s="155" t="n"/>
      <c r="L26" s="156" t="n"/>
      <c r="M26" s="155" t="n"/>
      <c r="N26" s="143" t="n"/>
      <c r="O26" s="157" t="n"/>
      <c r="P26" s="155" t="n"/>
    </row>
    <row r="27" ht="20.15" customFormat="1" customHeight="1" s="619" thickBot="1">
      <c r="C27" s="893" t="inlineStr">
        <is>
          <t>#5</t>
        </is>
      </c>
      <c r="D27" s="885">
        <f>IF(F28="","",IF(F28&gt;30,F28+0.5,F28+0.005))</f>
        <v/>
      </c>
      <c r="E27" s="161" t="inlineStr">
        <is>
          <t>Max</t>
        </is>
      </c>
      <c r="F27" s="162">
        <f>IF(AND(F28&lt;0.1,F28&gt;0),"WIL"," ")</f>
        <v/>
      </c>
      <c r="G27" s="138" t="n"/>
      <c r="H27" s="139" t="n"/>
      <c r="I27" s="140" t="n"/>
      <c r="J27" s="141" t="n"/>
      <c r="L27" s="142" t="n"/>
      <c r="M27" s="141" t="n"/>
      <c r="N27" s="143" t="n"/>
      <c r="O27" s="142" t="n"/>
      <c r="P27" s="141" t="n"/>
    </row>
    <row r="28" ht="20.15" customFormat="1" customHeight="1" s="619" thickBot="1">
      <c r="C28" s="886">
        <f>AuxBlend05Parts</f>
        <v/>
      </c>
      <c r="D28" s="887">
        <f>AuxBlend05RMName</f>
        <v/>
      </c>
      <c r="E28" s="888" t="n"/>
      <c r="F28" s="889">
        <f>IF(C28="","",IF((C28/$C$63*$F$63)&lt;30,ROUND(C28/$C$63*$F$63,3),FIXED(C28/$C$63*$F$63,2)))</f>
        <v/>
      </c>
      <c r="G28" s="145">
        <f>IF(AND(F27&lt;0.11,F27&gt;0),"GR"," ")</f>
        <v/>
      </c>
      <c r="H28" s="139" t="n"/>
      <c r="I28" s="146" t="n"/>
      <c r="J28" s="147" t="n"/>
      <c r="L28" s="148" t="n"/>
      <c r="M28" s="147" t="n"/>
      <c r="N28" s="143" t="n"/>
      <c r="O28" s="148" t="n"/>
      <c r="P28" s="147" t="n"/>
    </row>
    <row r="29" ht="20.15" customFormat="1" customHeight="1" s="619" thickBot="1">
      <c r="C29" s="891" t="n"/>
      <c r="D29" s="892">
        <f>IF(F28="","",IF(F28&gt;30,F28-0.5,F28-0.005))</f>
        <v/>
      </c>
      <c r="E29" s="163" t="inlineStr">
        <is>
          <t>Min</t>
        </is>
      </c>
      <c r="F29" s="164">
        <f>IF(AND(F28&lt;0.11,F28&gt;0),ROUND(454*F28,2)," ")</f>
        <v/>
      </c>
      <c r="G29" s="153">
        <f>IF(AND(F28&lt;0.11,F28&gt;0),"GR"," ")</f>
        <v/>
      </c>
      <c r="H29" s="139" t="n"/>
      <c r="I29" s="154" t="n"/>
      <c r="J29" s="155" t="n"/>
      <c r="L29" s="156" t="n"/>
      <c r="M29" s="155" t="n"/>
      <c r="N29" s="143" t="n"/>
      <c r="O29" s="157" t="n"/>
      <c r="P29" s="155" t="n"/>
    </row>
    <row r="30" ht="20.15" customFormat="1" customHeight="1" s="619" thickBot="1">
      <c r="C30" s="893" t="inlineStr">
        <is>
          <t>#6</t>
        </is>
      </c>
      <c r="D30" s="885">
        <f>IF(F31="","",IF(F31&gt;30,F31+0.5,F31+0.005))</f>
        <v/>
      </c>
      <c r="E30" s="161" t="inlineStr">
        <is>
          <t>Max</t>
        </is>
      </c>
      <c r="F30" s="162">
        <f>IF(AND(F31&lt;0.1,F31&gt;0),"WIL"," ")</f>
        <v/>
      </c>
      <c r="G30" s="138" t="n"/>
      <c r="H30" s="139" t="n"/>
      <c r="I30" s="140" t="n"/>
      <c r="J30" s="141" t="n"/>
      <c r="L30" s="142" t="n"/>
      <c r="M30" s="141" t="n"/>
      <c r="N30" s="143" t="n"/>
      <c r="O30" s="142" t="n"/>
      <c r="P30" s="141" t="n"/>
    </row>
    <row r="31" ht="20.15" customFormat="1" customHeight="1" s="619" thickBot="1">
      <c r="C31" s="886">
        <f>AuxBlend06Parts</f>
        <v/>
      </c>
      <c r="D31" s="887">
        <f>AuxBlend06RMName</f>
        <v/>
      </c>
      <c r="E31" s="888" t="n"/>
      <c r="F31" s="889">
        <f>IF(C31="","",IF((C31/$C$63*$F$63)&lt;30,ROUND(C31/$C$63*$F$63,3),FIXED(C31/$C$63*$F$63,2)))</f>
        <v/>
      </c>
      <c r="G31" s="145">
        <f>IF(AND(F30&lt;0.11,F30&gt;0),"GR"," ")</f>
        <v/>
      </c>
      <c r="H31" s="139" t="n"/>
      <c r="I31" s="146" t="n"/>
      <c r="J31" s="147" t="n"/>
      <c r="L31" s="148" t="n"/>
      <c r="M31" s="147" t="n"/>
      <c r="N31" s="143" t="n"/>
      <c r="O31" s="148" t="n"/>
      <c r="P31" s="147" t="n"/>
    </row>
    <row r="32" ht="20.15" customFormat="1" customHeight="1" s="619" thickBot="1">
      <c r="C32" s="891" t="n"/>
      <c r="D32" s="892">
        <f>IF(F31="","",IF(F31&gt;30,F31-0.5,F31-0.005))</f>
        <v/>
      </c>
      <c r="E32" s="163" t="inlineStr">
        <is>
          <t>Min</t>
        </is>
      </c>
      <c r="F32" s="164">
        <f>IF(AND(F31&lt;0.11,F31&gt;0),ROUND(454*F31,2)," ")</f>
        <v/>
      </c>
      <c r="G32" s="153">
        <f>IF(AND(F31&lt;0.11,F31&gt;0),"GR"," ")</f>
        <v/>
      </c>
      <c r="H32" s="139" t="n"/>
      <c r="I32" s="154" t="n"/>
      <c r="J32" s="155" t="n"/>
      <c r="L32" s="156" t="n"/>
      <c r="M32" s="155" t="n"/>
      <c r="N32" s="143" t="n"/>
      <c r="O32" s="157" t="n"/>
      <c r="P32" s="155" t="n"/>
    </row>
    <row r="33" ht="20.15" customFormat="1" customHeight="1" s="619" thickBot="1">
      <c r="C33" s="893" t="inlineStr">
        <is>
          <t>#7</t>
        </is>
      </c>
      <c r="D33" s="885">
        <f>IF(F34="","",IF(F34&gt;30,F34+0.5,F34+0.005))</f>
        <v/>
      </c>
      <c r="E33" s="161" t="inlineStr">
        <is>
          <t>Max</t>
        </is>
      </c>
      <c r="F33" s="162">
        <f>IF(AND(F34&lt;0.1,F34&gt;0),"WIL"," ")</f>
        <v/>
      </c>
      <c r="G33" s="138" t="n"/>
      <c r="H33" s="139" t="n"/>
      <c r="I33" s="140" t="n"/>
      <c r="J33" s="141" t="n"/>
      <c r="L33" s="142" t="n"/>
      <c r="M33" s="141" t="n"/>
      <c r="N33" s="143" t="n"/>
      <c r="O33" s="142" t="n"/>
      <c r="P33" s="141" t="n"/>
    </row>
    <row r="34" ht="20.15" customFormat="1" customHeight="1" s="619" thickBot="1">
      <c r="C34" s="886">
        <f>AuxBlend07Parts</f>
        <v/>
      </c>
      <c r="D34" s="887">
        <f>AuxBlend07RMName</f>
        <v/>
      </c>
      <c r="E34" s="888" t="n"/>
      <c r="F34" s="889">
        <f>IF(C34="","",IF((C34/$C$63*$F$63)&lt;30,ROUND(C34/$C$63*$F$63,3),FIXED(C34/$C$63*$F$63,2)))</f>
        <v/>
      </c>
      <c r="G34" s="145">
        <f>IF(AND(F33&lt;0.11,F33&gt;0),"GR"," ")</f>
        <v/>
      </c>
      <c r="H34" s="139" t="n"/>
      <c r="I34" s="146" t="n"/>
      <c r="J34" s="147" t="n"/>
      <c r="L34" s="148" t="n"/>
      <c r="M34" s="147" t="n"/>
      <c r="N34" s="143" t="n"/>
      <c r="O34" s="148" t="n"/>
      <c r="P34" s="147" t="n"/>
    </row>
    <row r="35" ht="20.15" customFormat="1" customHeight="1" s="619" thickBot="1">
      <c r="C35" s="891" t="n"/>
      <c r="D35" s="892">
        <f>IF(F34="","",IF(F34&gt;30,F34-0.5,F34-0.005))</f>
        <v/>
      </c>
      <c r="E35" s="163" t="inlineStr">
        <is>
          <t>Min</t>
        </is>
      </c>
      <c r="F35" s="164">
        <f>IF(AND(F34&lt;0.11,F34&gt;0),ROUND(454*F34,2)," ")</f>
        <v/>
      </c>
      <c r="G35" s="153">
        <f>IF(AND(F34&lt;0.11,F34&gt;0),"GR"," ")</f>
        <v/>
      </c>
      <c r="H35" s="139" t="n"/>
      <c r="I35" s="154" t="n"/>
      <c r="J35" s="155" t="n"/>
      <c r="L35" s="156" t="n"/>
      <c r="M35" s="155" t="n"/>
      <c r="N35" s="143" t="n"/>
      <c r="O35" s="157" t="n"/>
      <c r="P35" s="155" t="n"/>
    </row>
    <row r="36" ht="20.15" customFormat="1" customHeight="1" s="619" thickBot="1">
      <c r="C36" s="893" t="inlineStr">
        <is>
          <t>#8</t>
        </is>
      </c>
      <c r="D36" s="885">
        <f>IF(F37="","",IF(F37&gt;30,F37+0.5,F37+0.005))</f>
        <v/>
      </c>
      <c r="E36" s="161" t="inlineStr">
        <is>
          <t>Max</t>
        </is>
      </c>
      <c r="F36" s="162">
        <f>IF(AND(F37&lt;0.1,F37&gt;0),"WIL"," ")</f>
        <v/>
      </c>
      <c r="G36" s="138" t="n"/>
      <c r="H36" s="139" t="n"/>
      <c r="I36" s="140" t="n"/>
      <c r="J36" s="141" t="n"/>
      <c r="L36" s="142" t="n"/>
      <c r="M36" s="141" t="n"/>
      <c r="N36" s="143" t="n"/>
      <c r="O36" s="142" t="n"/>
      <c r="P36" s="141" t="n"/>
    </row>
    <row r="37" ht="20.15" customFormat="1" customHeight="1" s="619" thickBot="1">
      <c r="C37" s="886">
        <f>AuxBlend08Parts</f>
        <v/>
      </c>
      <c r="D37" s="887">
        <f>AuxBlend08RMName</f>
        <v/>
      </c>
      <c r="E37" s="888" t="n"/>
      <c r="F37" s="889">
        <f>IF(C37="","",IF((C37/$C$63*$F$63)&lt;30,ROUND(C37/$C$63*$F$63,3),FIXED(C37/$C$63*$F$63,2)))</f>
        <v/>
      </c>
      <c r="G37" s="145">
        <f>IF(AND(F36&lt;0.11,F36&gt;0),"GR"," ")</f>
        <v/>
      </c>
      <c r="H37" s="139" t="n"/>
      <c r="I37" s="146" t="n"/>
      <c r="J37" s="147" t="n"/>
      <c r="L37" s="148" t="n"/>
      <c r="M37" s="147" t="n"/>
      <c r="N37" s="143" t="n"/>
      <c r="O37" s="148" t="n"/>
      <c r="P37" s="147" t="n"/>
    </row>
    <row r="38" ht="20.15" customFormat="1" customHeight="1" s="619" thickBot="1">
      <c r="C38" s="891" t="n"/>
      <c r="D38" s="892">
        <f>IF(F37="","",IF(F37&gt;30,F37-0.5,F37-0.005))</f>
        <v/>
      </c>
      <c r="E38" s="163" t="inlineStr">
        <is>
          <t>Min</t>
        </is>
      </c>
      <c r="F38" s="164">
        <f>IF(AND(F37&lt;0.11,F37&gt;0),ROUND(454*F37,2)," ")</f>
        <v/>
      </c>
      <c r="G38" s="153">
        <f>IF(AND(F37&lt;0.11,F37&gt;0),"GR"," ")</f>
        <v/>
      </c>
      <c r="H38" s="139" t="n"/>
      <c r="I38" s="154" t="n"/>
      <c r="J38" s="155" t="n"/>
      <c r="L38" s="156" t="n"/>
      <c r="M38" s="155" t="n"/>
      <c r="N38" s="143" t="n"/>
      <c r="O38" s="157" t="n"/>
      <c r="P38" s="155" t="n"/>
    </row>
    <row r="39" ht="20.15" customFormat="1" customHeight="1" s="619" thickBot="1">
      <c r="C39" s="893" t="inlineStr">
        <is>
          <t>#9</t>
        </is>
      </c>
      <c r="D39" s="885">
        <f>IF(F40="","",IF(F40&gt;30,F40+0.5,F40+0.005))</f>
        <v/>
      </c>
      <c r="E39" s="161" t="inlineStr">
        <is>
          <t>Max</t>
        </is>
      </c>
      <c r="F39" s="162">
        <f>IF(AND(F40&lt;0.1,F40&gt;0),"WIL"," ")</f>
        <v/>
      </c>
      <c r="G39" s="138" t="n"/>
      <c r="H39" s="139" t="n"/>
      <c r="I39" s="140" t="n"/>
      <c r="J39" s="141" t="n"/>
      <c r="L39" s="142" t="n"/>
      <c r="M39" s="141" t="n"/>
      <c r="N39" s="143" t="n"/>
      <c r="O39" s="142" t="n"/>
      <c r="P39" s="141" t="n"/>
    </row>
    <row r="40" ht="20.15" customFormat="1" customHeight="1" s="619" thickBot="1">
      <c r="C40" s="886">
        <f>AuxBlend09Parts</f>
        <v/>
      </c>
      <c r="D40" s="887">
        <f>AuxBlend09RMName</f>
        <v/>
      </c>
      <c r="E40" s="888" t="n"/>
      <c r="F40" s="889">
        <f>IF(C40="","",IF((C40/$C$63*$F$63)&lt;30,ROUND(C40/$C$63*$F$63,3),FIXED(C40/$C$63*$F$63,2)))</f>
        <v/>
      </c>
      <c r="G40" s="145">
        <f>IF(AND(F39&lt;0.11,F39&gt;0),"GR"," ")</f>
        <v/>
      </c>
      <c r="H40" s="139" t="n"/>
      <c r="I40" s="146" t="n"/>
      <c r="J40" s="147" t="n"/>
      <c r="L40" s="148" t="n"/>
      <c r="M40" s="147" t="n"/>
      <c r="N40" s="143" t="n"/>
      <c r="O40" s="148" t="n"/>
      <c r="P40" s="147" t="n"/>
    </row>
    <row r="41" ht="20.15" customFormat="1" customHeight="1" s="619" thickBot="1">
      <c r="C41" s="891" t="n"/>
      <c r="D41" s="892">
        <f>IF(F40="","",IF(F40&gt;30,F40-0.5,F40-0.005))</f>
        <v/>
      </c>
      <c r="E41" s="163" t="inlineStr">
        <is>
          <t>Min</t>
        </is>
      </c>
      <c r="F41" s="164">
        <f>IF(AND(F40&lt;0.11,F40&gt;0),ROUND(454*F40,2)," ")</f>
        <v/>
      </c>
      <c r="G41" s="153">
        <f>IF(AND(F40&lt;0.11,F40&gt;0),"GR"," ")</f>
        <v/>
      </c>
      <c r="H41" s="139" t="n"/>
      <c r="I41" s="154" t="n"/>
      <c r="J41" s="155" t="n"/>
      <c r="L41" s="157" t="n"/>
      <c r="M41" s="155" t="n"/>
      <c r="N41" s="143" t="n"/>
      <c r="O41" s="157" t="n"/>
      <c r="P41" s="155" t="n"/>
    </row>
    <row r="42" ht="20.15" customFormat="1" customHeight="1" s="619" thickBot="1">
      <c r="C42" s="893" t="inlineStr">
        <is>
          <t>#10</t>
        </is>
      </c>
      <c r="D42" s="885">
        <f>IF(F43="","",IF(F43&gt;30,F43+0.5,F43+0.005))</f>
        <v/>
      </c>
      <c r="E42" s="161" t="inlineStr">
        <is>
          <t>Max</t>
        </is>
      </c>
      <c r="F42" s="162">
        <f>IF(AND(F43&lt;0.1,F43&gt;0),"WIL"," ")</f>
        <v/>
      </c>
      <c r="G42" s="138" t="n"/>
      <c r="H42" s="139" t="n"/>
      <c r="I42" s="140" t="n"/>
      <c r="J42" s="141" t="n"/>
      <c r="L42" s="142" t="n"/>
      <c r="M42" s="141" t="n"/>
      <c r="N42" s="143" t="n"/>
      <c r="O42" s="142" t="n"/>
      <c r="P42" s="141" t="n"/>
    </row>
    <row r="43" ht="20.15" customFormat="1" customHeight="1" s="167" thickBot="1">
      <c r="C43" s="886">
        <f>AuxBlend10Parts</f>
        <v/>
      </c>
      <c r="D43" s="887">
        <f>AuxBlend10RMName</f>
        <v/>
      </c>
      <c r="E43" s="888" t="n"/>
      <c r="F43" s="889">
        <f>IF(C43="","",IF((C43/$C$63*$F$63)&lt;30,ROUND(C43/$C$63*$F$63,3),FIXED(C43/$C$63*$F$63,2)))</f>
        <v/>
      </c>
      <c r="G43" s="145">
        <f>IF(AND(F42&lt;0.11,F42&gt;0),"GR"," ")</f>
        <v/>
      </c>
      <c r="H43" s="139" t="n"/>
      <c r="I43" s="146" t="n"/>
      <c r="J43" s="147" t="n"/>
      <c r="K43" s="165" t="n"/>
      <c r="L43" s="148" t="n"/>
      <c r="M43" s="147" t="n"/>
      <c r="N43" s="166" t="n"/>
      <c r="O43" s="148" t="n"/>
      <c r="P43" s="147" t="n"/>
      <c r="Q43" s="165" t="n"/>
    </row>
    <row r="44" ht="20.15" customFormat="1" customHeight="1" s="167" thickBot="1">
      <c r="C44" s="891" t="n"/>
      <c r="D44" s="892">
        <f>IF(F43="","",IF(F43&gt;30,F43-0.5,F43-0.005))</f>
        <v/>
      </c>
      <c r="E44" s="163" t="inlineStr">
        <is>
          <t>Min</t>
        </is>
      </c>
      <c r="F44" s="164">
        <f>IF(AND(F43&lt;0.11,F43&gt;0),ROUND(454*F43,2)," ")</f>
        <v/>
      </c>
      <c r="G44" s="153">
        <f>IF(AND(F43&lt;0.11,F43&gt;0),"GR"," ")</f>
        <v/>
      </c>
      <c r="H44" s="139" t="n"/>
      <c r="I44" s="154" t="n"/>
      <c r="J44" s="155" t="n"/>
      <c r="K44" s="165" t="n"/>
      <c r="L44" s="157" t="n"/>
      <c r="M44" s="155" t="n"/>
      <c r="N44" s="166" t="n"/>
      <c r="O44" s="157" t="n"/>
      <c r="P44" s="155" t="n"/>
      <c r="Q44" s="165" t="n"/>
    </row>
    <row r="45" ht="20.15" customFormat="1" customHeight="1" s="167" thickBot="1">
      <c r="C45" s="893" t="inlineStr">
        <is>
          <t>#11</t>
        </is>
      </c>
      <c r="D45" s="885">
        <f>IF(F46="","",IF(F46&gt;30,F46+0.5,F46+0.005))</f>
        <v/>
      </c>
      <c r="E45" s="161" t="inlineStr">
        <is>
          <t>Max</t>
        </is>
      </c>
      <c r="F45" s="162">
        <f>IF(AND(F46&lt;0.1,F46&gt;0),"WIL"," ")</f>
        <v/>
      </c>
      <c r="G45" s="138" t="n"/>
      <c r="H45" s="139" t="n"/>
      <c r="I45" s="140" t="n"/>
      <c r="J45" s="141" t="n"/>
      <c r="K45" s="165" t="n"/>
      <c r="L45" s="142" t="n"/>
      <c r="M45" s="141" t="n"/>
      <c r="N45" s="166" t="n"/>
      <c r="O45" s="142" t="n"/>
      <c r="P45" s="141" t="n"/>
      <c r="Q45" s="165" t="n"/>
    </row>
    <row r="46" ht="20.15" customFormat="1" customHeight="1" s="167" thickBot="1">
      <c r="C46" s="886">
        <f>AuxBlend11Parts</f>
        <v/>
      </c>
      <c r="D46" s="887">
        <f>AuxBlend11RMName</f>
        <v/>
      </c>
      <c r="E46" s="888" t="n"/>
      <c r="F46" s="889">
        <f>IF(C46="","",IF((C46/$C$63*$F$63)&lt;30,ROUND(C46/$C$63*$F$63,3),FIXED(C46/$C$63*$F$63,2)))</f>
        <v/>
      </c>
      <c r="G46" s="145">
        <f>IF(AND(F45&lt;0.11,F45&gt;0),"GR"," ")</f>
        <v/>
      </c>
      <c r="H46" s="139" t="n"/>
      <c r="I46" s="146" t="n"/>
      <c r="J46" s="147" t="n"/>
      <c r="K46" s="165" t="n"/>
      <c r="L46" s="148" t="n"/>
      <c r="M46" s="147" t="n"/>
      <c r="N46" s="166" t="n"/>
      <c r="O46" s="148" t="n"/>
      <c r="P46" s="147" t="n"/>
      <c r="Q46" s="165" t="n"/>
    </row>
    <row r="47" ht="20.15" customFormat="1" customHeight="1" s="167" thickBot="1">
      <c r="C47" s="891" t="n"/>
      <c r="D47" s="892">
        <f>IF(F46="","",IF(F46&gt;30,F46-0.5,F46-0.005))</f>
        <v/>
      </c>
      <c r="E47" s="163" t="inlineStr">
        <is>
          <t>Min</t>
        </is>
      </c>
      <c r="F47" s="164">
        <f>IF(AND(F46&lt;0.11,F46&gt;0),ROUND(454*F46,2)," ")</f>
        <v/>
      </c>
      <c r="G47" s="153">
        <f>IF(AND(F46&lt;0.11,F46&gt;0),"GR"," ")</f>
        <v/>
      </c>
      <c r="H47" s="139" t="n"/>
      <c r="I47" s="154" t="n"/>
      <c r="J47" s="155" t="n"/>
      <c r="K47" s="165" t="n"/>
      <c r="L47" s="157" t="n"/>
      <c r="M47" s="155" t="n"/>
      <c r="N47" s="166" t="n"/>
      <c r="O47" s="157" t="n"/>
      <c r="P47" s="155" t="n"/>
      <c r="Q47" s="165" t="n"/>
    </row>
    <row r="48" ht="20.15" customFormat="1" customHeight="1" s="167" thickBot="1">
      <c r="C48" s="893" t="inlineStr">
        <is>
          <t>#12</t>
        </is>
      </c>
      <c r="D48" s="885">
        <f>IF(F49="","",IF(F49&gt;30,F49+0.5,F49+0.005))</f>
        <v/>
      </c>
      <c r="E48" s="161" t="inlineStr">
        <is>
          <t>Max</t>
        </is>
      </c>
      <c r="F48" s="162">
        <f>IF(AND(F49&lt;0.1,F49&gt;0),"WIL"," ")</f>
        <v/>
      </c>
      <c r="G48" s="138" t="n"/>
      <c r="H48" s="139" t="n"/>
      <c r="I48" s="140" t="n"/>
      <c r="J48" s="141" t="n"/>
      <c r="K48" s="165" t="n"/>
      <c r="L48" s="142" t="n"/>
      <c r="M48" s="141" t="n"/>
      <c r="N48" s="166" t="n"/>
      <c r="O48" s="142" t="n"/>
      <c r="P48" s="141" t="n"/>
      <c r="Q48" s="165" t="n"/>
    </row>
    <row r="49" ht="20.15" customFormat="1" customHeight="1" s="167" thickBot="1">
      <c r="C49" s="886">
        <f>AuxBlend12Parts</f>
        <v/>
      </c>
      <c r="D49" s="887">
        <f>AuxBlend12RMName</f>
        <v/>
      </c>
      <c r="E49" s="888" t="n"/>
      <c r="F49" s="889">
        <f>IF(C49="","",IF((C49/$C$63*$F$63)&lt;30,ROUND(C49/$C$63*$F$63,3),FIXED(C49/$C$63*$F$63,2)))</f>
        <v/>
      </c>
      <c r="G49" s="145">
        <f>IF(AND(F48&lt;0.11,F48&gt;0),"GR"," ")</f>
        <v/>
      </c>
      <c r="H49" s="139" t="n"/>
      <c r="I49" s="146" t="n"/>
      <c r="J49" s="147" t="n"/>
      <c r="K49" s="165" t="n"/>
      <c r="L49" s="148" t="n"/>
      <c r="M49" s="147" t="n"/>
      <c r="N49" s="166" t="n"/>
      <c r="O49" s="148" t="n"/>
      <c r="P49" s="147" t="n"/>
      <c r="Q49" s="165" t="n"/>
    </row>
    <row r="50" ht="20.15" customFormat="1" customHeight="1" s="167" thickBot="1">
      <c r="C50" s="891" t="n"/>
      <c r="D50" s="892">
        <f>IF(F49="","",IF(F49&gt;30,F49-0.5,F49-0.005))</f>
        <v/>
      </c>
      <c r="E50" s="163" t="inlineStr">
        <is>
          <t>Min</t>
        </is>
      </c>
      <c r="F50" s="164">
        <f>IF(AND(F49&lt;0.11,F49&gt;0),ROUND(454*F49,2)," ")</f>
        <v/>
      </c>
      <c r="G50" s="153">
        <f>IF(AND(F49&lt;0.11,F49&gt;0),"GR"," ")</f>
        <v/>
      </c>
      <c r="H50" s="139" t="n"/>
      <c r="I50" s="154" t="n"/>
      <c r="J50" s="155" t="n"/>
      <c r="K50" s="165" t="n"/>
      <c r="L50" s="157" t="n"/>
      <c r="M50" s="155" t="n"/>
      <c r="N50" s="166" t="n"/>
      <c r="O50" s="157" t="n"/>
      <c r="P50" s="155" t="n"/>
      <c r="Q50" s="165" t="n"/>
    </row>
    <row r="51" ht="20.15" customFormat="1" customHeight="1" s="167" thickBot="1">
      <c r="C51" s="893" t="inlineStr">
        <is>
          <t>#13</t>
        </is>
      </c>
      <c r="D51" s="885">
        <f>IF(F52="","",IF(F52&gt;30,F52+0.5,F52+0.005))</f>
        <v/>
      </c>
      <c r="E51" s="161" t="inlineStr">
        <is>
          <t>Max</t>
        </is>
      </c>
      <c r="F51" s="162">
        <f>IF(AND(F52&lt;0.1,F52&gt;0),"WIL"," ")</f>
        <v/>
      </c>
      <c r="G51" s="138" t="n"/>
      <c r="H51" s="139" t="n"/>
      <c r="I51" s="140" t="n"/>
      <c r="J51" s="141" t="n"/>
      <c r="K51" s="165" t="n"/>
      <c r="L51" s="142" t="n"/>
      <c r="M51" s="141" t="n"/>
      <c r="N51" s="166" t="n"/>
      <c r="O51" s="142" t="n"/>
      <c r="P51" s="141" t="n"/>
      <c r="Q51" s="165" t="n"/>
    </row>
    <row r="52" ht="20.15" customFormat="1" customHeight="1" s="167" thickBot="1">
      <c r="C52" s="886">
        <f>AuxBlend13Parts</f>
        <v/>
      </c>
      <c r="D52" s="887">
        <f>AuxBlend13RMName</f>
        <v/>
      </c>
      <c r="E52" s="888" t="n"/>
      <c r="F52" s="889">
        <f>IF(C52="","",IF((C52/$C$63*$F$63)&lt;30,ROUND(C52/$C$63*$F$63,3),FIXED(C52/$C$63*$F$63,2)))</f>
        <v/>
      </c>
      <c r="G52" s="145">
        <f>IF(AND(F51&lt;0.11,F51&gt;0),"GR"," ")</f>
        <v/>
      </c>
      <c r="H52" s="139" t="n"/>
      <c r="I52" s="146" t="n"/>
      <c r="J52" s="147" t="n"/>
      <c r="K52" s="165" t="n"/>
      <c r="L52" s="148" t="n"/>
      <c r="M52" s="147" t="n"/>
      <c r="N52" s="166" t="n"/>
      <c r="O52" s="148" t="n"/>
      <c r="P52" s="147" t="n"/>
      <c r="Q52" s="165" t="n"/>
    </row>
    <row r="53" ht="20.15" customFormat="1" customHeight="1" s="167" thickBot="1">
      <c r="C53" s="891" t="n"/>
      <c r="D53" s="892">
        <f>IF(F52="","",IF(F52&gt;30,F52-0.5,F52-0.005))</f>
        <v/>
      </c>
      <c r="E53" s="163" t="inlineStr">
        <is>
          <t>Min</t>
        </is>
      </c>
      <c r="F53" s="164">
        <f>IF(AND(F52&lt;0.11,F52&gt;0),ROUND(454*F52,2)," ")</f>
        <v/>
      </c>
      <c r="G53" s="153">
        <f>IF(AND(F52&lt;0.11,F52&gt;0),"GR"," ")</f>
        <v/>
      </c>
      <c r="H53" s="139" t="n"/>
      <c r="I53" s="154" t="n"/>
      <c r="J53" s="155" t="n"/>
      <c r="K53" s="165" t="n"/>
      <c r="L53" s="157" t="n"/>
      <c r="M53" s="155" t="n"/>
      <c r="N53" s="166" t="n"/>
      <c r="O53" s="157" t="n"/>
      <c r="P53" s="155" t="n"/>
      <c r="Q53" s="165" t="n"/>
    </row>
    <row r="54" ht="20.15" customFormat="1" customHeight="1" s="167" thickBot="1">
      <c r="C54" s="893" t="inlineStr">
        <is>
          <t>#14</t>
        </is>
      </c>
      <c r="D54" s="885">
        <f>IF(F55="","",IF(F55&gt;30,F55+0.5,F55+0.005))</f>
        <v/>
      </c>
      <c r="E54" s="161" t="inlineStr">
        <is>
          <t>Max</t>
        </is>
      </c>
      <c r="F54" s="162">
        <f>IF(AND(F55&lt;0.1,F55&gt;0),"WIL"," ")</f>
        <v/>
      </c>
      <c r="G54" s="138" t="n"/>
      <c r="H54" s="139" t="n"/>
      <c r="I54" s="140" t="n"/>
      <c r="J54" s="141" t="n"/>
      <c r="K54" s="165" t="n"/>
      <c r="L54" s="142" t="n"/>
      <c r="M54" s="141" t="n"/>
      <c r="N54" s="166" t="n"/>
      <c r="O54" s="142" t="n"/>
      <c r="P54" s="141" t="n"/>
      <c r="Q54" s="165" t="n"/>
    </row>
    <row r="55" ht="20.15" customFormat="1" customHeight="1" s="167" thickBot="1">
      <c r="C55" s="886">
        <f>AuxBlend14Parts</f>
        <v/>
      </c>
      <c r="D55" s="887">
        <f>AuxBlend14RMName</f>
        <v/>
      </c>
      <c r="E55" s="888" t="n"/>
      <c r="F55" s="889">
        <f>IF(C55="","",IF((C55/$C$63*$F$63)&lt;30,ROUND(C55/$C$63*$F$63,3),FIXED(C55/$C$63*$F$63,2)))</f>
        <v/>
      </c>
      <c r="G55" s="145">
        <f>IF(AND(F54&lt;0.11,F54&gt;0),"GR"," ")</f>
        <v/>
      </c>
      <c r="H55" s="139" t="n"/>
      <c r="I55" s="146" t="n"/>
      <c r="J55" s="147" t="n"/>
      <c r="K55" s="165" t="n"/>
      <c r="L55" s="148" t="n"/>
      <c r="M55" s="147" t="n"/>
      <c r="N55" s="166" t="n"/>
      <c r="O55" s="148" t="n"/>
      <c r="P55" s="147" t="n"/>
      <c r="Q55" s="165" t="n"/>
    </row>
    <row r="56" ht="20.15" customFormat="1" customHeight="1" s="167" thickBot="1">
      <c r="C56" s="891" t="n"/>
      <c r="D56" s="892">
        <f>IF(F55="","",IF(F55&gt;30,F55-0.5,F55-0.005))</f>
        <v/>
      </c>
      <c r="E56" s="163" t="inlineStr">
        <is>
          <t>Min</t>
        </is>
      </c>
      <c r="F56" s="164">
        <f>IF(AND(F55&lt;0.11,F55&gt;0),ROUND(454*F55,2)," ")</f>
        <v/>
      </c>
      <c r="G56" s="153">
        <f>IF(AND(F55&lt;0.11,F55&gt;0),"GR"," ")</f>
        <v/>
      </c>
      <c r="H56" s="139" t="n"/>
      <c r="I56" s="154" t="n"/>
      <c r="J56" s="155" t="n"/>
      <c r="K56" s="165" t="n"/>
      <c r="L56" s="157" t="n"/>
      <c r="M56" s="155" t="n"/>
      <c r="N56" s="166" t="n"/>
      <c r="O56" s="157" t="n"/>
      <c r="P56" s="155" t="n"/>
      <c r="Q56" s="165" t="n"/>
    </row>
    <row r="57" ht="20.15" customFormat="1" customHeight="1" s="167" thickBot="1">
      <c r="C57" s="893" t="inlineStr">
        <is>
          <t>#15</t>
        </is>
      </c>
      <c r="D57" s="885">
        <f>IF(F58="","",IF(F58&gt;30,F58+0.5,F58+0.005))</f>
        <v/>
      </c>
      <c r="E57" s="161" t="inlineStr">
        <is>
          <t>Max</t>
        </is>
      </c>
      <c r="F57" s="162">
        <f>IF(AND(F58&lt;0.1,F58&gt;0),"WIL"," ")</f>
        <v/>
      </c>
      <c r="G57" s="138" t="n"/>
      <c r="H57" s="139" t="n"/>
      <c r="I57" s="140" t="n"/>
      <c r="J57" s="141" t="n"/>
      <c r="K57" s="165" t="n"/>
      <c r="L57" s="142" t="n"/>
      <c r="M57" s="141" t="n"/>
      <c r="N57" s="166" t="n"/>
      <c r="O57" s="142" t="n"/>
      <c r="P57" s="141" t="n"/>
      <c r="Q57" s="165" t="n"/>
    </row>
    <row r="58" ht="20.15" customFormat="1" customHeight="1" s="167" thickBot="1">
      <c r="C58" s="886">
        <f>AuxBlend15Parts</f>
        <v/>
      </c>
      <c r="D58" s="887">
        <f>AuxBlend15RMName</f>
        <v/>
      </c>
      <c r="E58" s="888" t="n"/>
      <c r="F58" s="889">
        <f>IF(C58="","",IF((C58/$C$63*$F$63)&lt;30,ROUND(C58/$C$63*$F$63,3),FIXED(C58/$C$63*$F$63,2)))</f>
        <v/>
      </c>
      <c r="G58" s="145">
        <f>IF(AND(F57&lt;0.11,F57&gt;0),"GR"," ")</f>
        <v/>
      </c>
      <c r="H58" s="139" t="n"/>
      <c r="I58" s="146" t="n"/>
      <c r="J58" s="147" t="n"/>
      <c r="K58" s="165" t="n"/>
      <c r="L58" s="148" t="n"/>
      <c r="M58" s="147" t="n"/>
      <c r="N58" s="166" t="n"/>
      <c r="O58" s="148" t="n"/>
      <c r="P58" s="147" t="n"/>
      <c r="Q58" s="165" t="n"/>
    </row>
    <row r="59" ht="19.5" customFormat="1" customHeight="1" s="167" thickBot="1">
      <c r="C59" s="891" t="n"/>
      <c r="D59" s="892">
        <f>IF(F58="","",IF(F58&gt;30,F58-0.5,F58-0.005))</f>
        <v/>
      </c>
      <c r="E59" s="163" t="inlineStr">
        <is>
          <t>Min</t>
        </is>
      </c>
      <c r="F59" s="164">
        <f>IF(AND(F58&lt;0.11,F58&gt;0),ROUND(454*F58,2)," ")</f>
        <v/>
      </c>
      <c r="G59" s="153">
        <f>IF(AND(F58&lt;0.11,F58&gt;0),"GR"," ")</f>
        <v/>
      </c>
      <c r="H59" s="139" t="n"/>
      <c r="I59" s="154" t="n"/>
      <c r="J59" s="155" t="n"/>
      <c r="K59" s="165" t="n"/>
      <c r="L59" s="157" t="n"/>
      <c r="M59" s="155" t="n"/>
      <c r="N59" s="166" t="n"/>
      <c r="O59" s="157" t="n"/>
      <c r="P59" s="155" t="n"/>
      <c r="Q59" s="165" t="n"/>
    </row>
    <row r="60" ht="20.25" customFormat="1" customHeight="1" s="167" thickBot="1">
      <c r="C60" s="893" t="inlineStr">
        <is>
          <t>#16</t>
        </is>
      </c>
      <c r="D60" s="885">
        <f>IF(F61="","",IF(F61&gt;30,F61+0.5,F61+0.005))</f>
        <v/>
      </c>
      <c r="E60" s="161" t="inlineStr">
        <is>
          <t>Max</t>
        </is>
      </c>
      <c r="F60" s="162">
        <f>IF(AND(F61&lt;0.1,F61&gt;0),"WIL"," ")</f>
        <v/>
      </c>
      <c r="G60" s="138" t="n"/>
      <c r="H60" s="139" t="n"/>
      <c r="I60" s="140" t="n"/>
      <c r="J60" s="141" t="n"/>
      <c r="K60" s="165" t="n"/>
      <c r="L60" s="142" t="n"/>
      <c r="M60" s="141" t="n"/>
      <c r="N60" s="166" t="n"/>
      <c r="O60" s="142" t="n"/>
      <c r="P60" s="141" t="n"/>
      <c r="Q60" s="165" t="n"/>
    </row>
    <row r="61" ht="20.25" customFormat="1" customHeight="1" s="167" thickBot="1">
      <c r="C61" s="886">
        <f>AuxBlend16Parts</f>
        <v/>
      </c>
      <c r="D61" s="887">
        <f>AuxBlend16RMName</f>
        <v/>
      </c>
      <c r="E61" s="888" t="n"/>
      <c r="F61" s="889">
        <f>IF(C61="","",IF((C61/$C$63*$F$63)&lt;30,ROUND(C61/$C$63*$F$63,3),FIXED(C61/$C$63*$F$63,2)))</f>
        <v/>
      </c>
      <c r="G61" s="145">
        <f>IF(AND(F60&lt;0.11,F60&gt;0),"GR"," ")</f>
        <v/>
      </c>
      <c r="H61" s="139" t="n"/>
      <c r="I61" s="146" t="n"/>
      <c r="J61" s="147" t="n"/>
      <c r="K61" s="165" t="n"/>
      <c r="L61" s="148" t="n"/>
      <c r="M61" s="147" t="n"/>
      <c r="N61" s="166" t="n"/>
      <c r="O61" s="148" t="n"/>
      <c r="P61" s="147" t="n"/>
      <c r="Q61" s="165" t="n"/>
    </row>
    <row r="62" ht="20.25" customFormat="1" customHeight="1" s="167" thickBot="1">
      <c r="C62" s="891" t="n"/>
      <c r="D62" s="892">
        <f>IF(F61="","",IF(F61&gt;30,F61-0.5,F61-0.005))</f>
        <v/>
      </c>
      <c r="E62" s="163" t="inlineStr">
        <is>
          <t>Min</t>
        </is>
      </c>
      <c r="F62" s="164">
        <f>IF(AND(F61&lt;0.11,F61&gt;0),ROUND(454*F61,2)," ")</f>
        <v/>
      </c>
      <c r="G62" s="153">
        <f>IF(AND(F61&lt;0.11,F61&gt;0),"GR"," ")</f>
        <v/>
      </c>
      <c r="H62" s="139" t="n"/>
      <c r="I62" s="154" t="n"/>
      <c r="J62" s="155" t="n"/>
      <c r="K62" s="168" t="n"/>
      <c r="L62" s="157" t="n"/>
      <c r="M62" s="155" t="n"/>
      <c r="N62" s="166" t="n"/>
      <c r="O62" s="157" t="n"/>
      <c r="P62" s="155" t="n"/>
      <c r="Q62" s="165" t="n"/>
    </row>
    <row r="63" ht="20.25" customFormat="1" customHeight="1" s="179">
      <c r="A63" s="169" t="inlineStr">
        <is>
          <t>Preblend Parts =</t>
        </is>
      </c>
      <c r="B63" s="170" t="n"/>
      <c r="C63" s="894">
        <f>C16 + C19 + C22 + C25 + C28 + C31 + C34 + C37 + C40 + C43 + C46 + C49 + C52 + C55 + C58 + C61</f>
        <v/>
      </c>
      <c r="D63" s="172" t="inlineStr">
        <is>
          <t>TOTAL BATCH WT. =</t>
        </is>
      </c>
      <c r="E63" s="172" t="n"/>
      <c r="F63" s="173">
        <f>IF(AuxPBFdrBowlLbs&lt;&gt;0,AuxPBFdrBowlLbs,"")</f>
        <v/>
      </c>
      <c r="G63" s="174" t="n"/>
      <c r="H63" s="139" t="n"/>
      <c r="I63" s="175" t="inlineStr">
        <is>
          <t>Blend wt=</t>
        </is>
      </c>
      <c r="J63" s="176" t="n"/>
      <c r="K63" s="177" t="n"/>
      <c r="L63" s="175" t="inlineStr">
        <is>
          <t>Blend wt=</t>
        </is>
      </c>
      <c r="M63" s="178" t="n"/>
      <c r="N63" s="177" t="n"/>
      <c r="O63" s="175" t="inlineStr">
        <is>
          <t>Blend wt=</t>
        </is>
      </c>
      <c r="P63" s="178" t="n"/>
      <c r="Q63" s="177" t="n"/>
    </row>
    <row r="64" ht="20.25" customHeight="1">
      <c r="D64" s="53" t="inlineStr">
        <is>
          <t>Total net wt. From Blend Ticket</t>
        </is>
      </c>
      <c r="H64" s="181" t="n"/>
      <c r="I64" s="182" t="n"/>
      <c r="J64" s="183" t="n"/>
      <c r="L64" s="182" t="n"/>
      <c r="M64" s="183" t="n"/>
      <c r="O64" s="182" t="n"/>
      <c r="P64" s="183" t="n"/>
    </row>
    <row r="65" ht="20.25" customHeight="1" thickBot="1">
      <c r="C65" s="184" t="inlineStr">
        <is>
          <t>Must be +/- 1%(Requires TL initial if out)</t>
        </is>
      </c>
      <c r="D65" s="185" t="n"/>
      <c r="E65" s="185" t="n"/>
      <c r="F65" s="185" t="n"/>
      <c r="G65" s="185" t="n"/>
      <c r="H65" s="186" t="n"/>
      <c r="I65" s="187" t="inlineStr">
        <is>
          <t>OP INT</t>
        </is>
      </c>
      <c r="J65" s="188" t="n"/>
      <c r="L65" s="187" t="inlineStr">
        <is>
          <t>OP INT</t>
        </is>
      </c>
      <c r="M65" s="188" t="n"/>
      <c r="O65" s="187" t="inlineStr">
        <is>
          <t>OP INT</t>
        </is>
      </c>
      <c r="P65" s="188" t="n"/>
    </row>
    <row r="66" ht="20.25" customHeight="1" thickBot="1"/>
    <row r="67" ht="25.5" customHeight="1" thickBot="1">
      <c r="I67" s="189" t="inlineStr">
        <is>
          <t>BOWL WT</t>
        </is>
      </c>
      <c r="J67" s="190" t="n"/>
      <c r="K67" s="167" t="n"/>
      <c r="L67" s="189" t="inlineStr">
        <is>
          <t>BOWL WT</t>
        </is>
      </c>
      <c r="M67" s="190" t="n"/>
      <c r="N67" s="167" t="n"/>
      <c r="O67" s="189" t="inlineStr">
        <is>
          <t>BOWL WT</t>
        </is>
      </c>
      <c r="P67" s="190" t="n"/>
    </row>
    <row r="68" ht="25.5" customHeight="1" thickBot="1">
      <c r="I68" s="191" t="inlineStr">
        <is>
          <t>BOWL #</t>
        </is>
      </c>
      <c r="J68" s="192" t="n"/>
      <c r="K68" s="167" t="n"/>
      <c r="L68" s="191" t="inlineStr">
        <is>
          <t>BOWL #</t>
        </is>
      </c>
      <c r="M68" s="192" t="n"/>
      <c r="N68" s="167" t="n"/>
      <c r="O68" s="191" t="inlineStr">
        <is>
          <t>BOWL #</t>
        </is>
      </c>
      <c r="P68" s="192" t="n"/>
    </row>
    <row r="69" ht="25.5" customHeight="1" thickBot="1">
      <c r="I69" s="191" t="inlineStr">
        <is>
          <t>MIXACO #</t>
        </is>
      </c>
      <c r="J69" s="192" t="n"/>
      <c r="K69" s="167" t="n"/>
      <c r="L69" s="191" t="inlineStr">
        <is>
          <t>MIXACO #</t>
        </is>
      </c>
      <c r="M69" s="192" t="n"/>
      <c r="N69" s="167" t="n"/>
      <c r="O69" s="191" t="inlineStr">
        <is>
          <t>MIXACO #</t>
        </is>
      </c>
      <c r="P69" s="192" t="n"/>
    </row>
    <row r="70" ht="20.25" customHeight="1"/>
    <row r="71" ht="20.25" customHeight="1"/>
    <row r="75">
      <c r="Q75" s="193" t="n"/>
    </row>
  </sheetData>
  <sheetProtection selectLockedCells="1" selectUnlockedCells="0" sheet="1" objects="1" insertRows="1" insertHyperlinks="1" autoFilter="1" scenarios="1" formatColumns="1" deleteColumns="1" insertColumns="1" pivotTables="1" deleteRows="1" formatCells="1" formatRows="1" sort="1"/>
  <mergeCells count="48">
    <mergeCell ref="C61:C62"/>
    <mergeCell ref="D61:E61"/>
    <mergeCell ref="C52:C53"/>
    <mergeCell ref="D52:E52"/>
    <mergeCell ref="C55:C56"/>
    <mergeCell ref="D55:E55"/>
    <mergeCell ref="C58:C59"/>
    <mergeCell ref="D58:E58"/>
    <mergeCell ref="C43:C44"/>
    <mergeCell ref="D43:E43"/>
    <mergeCell ref="C46:C47"/>
    <mergeCell ref="D46:E46"/>
    <mergeCell ref="C49:C50"/>
    <mergeCell ref="D49:E49"/>
    <mergeCell ref="C34:C35"/>
    <mergeCell ref="D34:E34"/>
    <mergeCell ref="C37:C38"/>
    <mergeCell ref="D37:E37"/>
    <mergeCell ref="C40:C41"/>
    <mergeCell ref="D40:E40"/>
    <mergeCell ref="C25:C26"/>
    <mergeCell ref="D25:E25"/>
    <mergeCell ref="C28:C29"/>
    <mergeCell ref="D28:E28"/>
    <mergeCell ref="C31:C32"/>
    <mergeCell ref="D31:E31"/>
    <mergeCell ref="C22:C23"/>
    <mergeCell ref="D22:E22"/>
    <mergeCell ref="F11:H11"/>
    <mergeCell ref="F12:H12"/>
    <mergeCell ref="I12:J12"/>
    <mergeCell ref="D14:E14"/>
    <mergeCell ref="C16:C17"/>
    <mergeCell ref="D16:E16"/>
    <mergeCell ref="C19:C20"/>
    <mergeCell ref="D19:E19"/>
    <mergeCell ref="L12:M12"/>
    <mergeCell ref="O12:P12"/>
    <mergeCell ref="D13:E13"/>
    <mergeCell ref="A1:B2"/>
    <mergeCell ref="C1:E1"/>
    <mergeCell ref="F1:H1"/>
    <mergeCell ref="I1:J1"/>
    <mergeCell ref="K1:M1"/>
    <mergeCell ref="N1:Q2"/>
    <mergeCell ref="C2:D2"/>
    <mergeCell ref="E2:H2"/>
    <mergeCell ref="I2:M2"/>
  </mergeCells>
  <conditionalFormatting sqref="F31 F25 F28 F16 F19 F34 F22 F37 F40 F43 F46 F49 F52 F55 F58 F61">
    <cfRule type="cellIs" priority="1" operator="lessThan" dxfId="0" stopIfTrue="1">
      <formula>0.1</formula>
    </cfRule>
  </conditionalFormatting>
  <printOptions horizontalCentered="1"/>
  <pageMargins left="0.25" right="0.25" top="0.25" bottom="0.17" header="0.25" footer="0.17"/>
  <pageSetup orientation="portrait" paperSize="5" scale="68"/>
  <headerFooter alignWithMargins="0">
    <oddHeader/>
    <oddFooter>&amp;L&amp;8 NETWORK ADDRESS: MPCI data\forms\production-operation forms&amp;C&amp;P  of &amp;N&amp;R&amp;8 Record Retention: Maintained   with Job Packet for 3 years.</oddFooter>
    <evenHeader/>
    <evenFooter/>
    <firstHeader/>
    <firstFooter/>
  </headerFooter>
</worksheet>
</file>

<file path=xl/worksheets/sheet22.xml><?xml version="1.0" encoding="utf-8"?>
<worksheet xmlns="http://schemas.openxmlformats.org/spreadsheetml/2006/main">
  <sheetPr codeName="Sheet3">
    <outlinePr summaryBelow="1" summaryRight="1"/>
    <pageSetUpPr/>
  </sheetPr>
  <dimension ref="A1:CB11"/>
  <sheetViews>
    <sheetView showGridLines="0" view="pageBreakPreview" zoomScale="130" zoomScaleNormal="100" zoomScaleSheetLayoutView="130" workbookViewId="0">
      <selection activeCell="H5" sqref="H5:N5"/>
    </sheetView>
  </sheetViews>
  <sheetFormatPr baseColWidth="8" defaultRowHeight="12.5"/>
  <cols>
    <col width="3.81640625" customWidth="1" style="662" min="1" max="1"/>
    <col width="9.1796875" customWidth="1" style="662" min="2" max="9"/>
    <col width="10.7265625" customWidth="1" style="662" min="10" max="10"/>
    <col width="9.1796875" customWidth="1" style="662" min="11" max="11"/>
    <col width="11.81640625" customWidth="1" style="662" min="12" max="12"/>
    <col width="9.1796875" customWidth="1" style="662" min="13" max="256"/>
    <col width="3.81640625" customWidth="1" style="662" min="257" max="257"/>
    <col width="9.1796875" customWidth="1" style="662" min="258" max="265"/>
    <col width="10.7265625" customWidth="1" style="662" min="266" max="266"/>
    <col width="9.1796875" customWidth="1" style="662" min="267" max="267"/>
    <col width="11.81640625" customWidth="1" style="662" min="268" max="268"/>
    <col width="9.1796875" customWidth="1" style="662" min="269" max="512"/>
    <col width="3.81640625" customWidth="1" style="662" min="513" max="513"/>
    <col width="9.1796875" customWidth="1" style="662" min="514" max="521"/>
    <col width="10.7265625" customWidth="1" style="662" min="522" max="522"/>
    <col width="9.1796875" customWidth="1" style="662" min="523" max="523"/>
    <col width="11.81640625" customWidth="1" style="662" min="524" max="524"/>
    <col width="9.1796875" customWidth="1" style="662" min="525" max="768"/>
    <col width="3.81640625" customWidth="1" style="662" min="769" max="769"/>
    <col width="9.1796875" customWidth="1" style="662" min="770" max="777"/>
    <col width="10.7265625" customWidth="1" style="662" min="778" max="778"/>
    <col width="9.1796875" customWidth="1" style="662" min="779" max="779"/>
    <col width="11.81640625" customWidth="1" style="662" min="780" max="780"/>
    <col width="9.1796875" customWidth="1" style="662" min="781" max="1024"/>
    <col width="3.81640625" customWidth="1" style="662" min="1025" max="1025"/>
    <col width="9.1796875" customWidth="1" style="662" min="1026" max="1033"/>
    <col width="10.7265625" customWidth="1" style="662" min="1034" max="1034"/>
    <col width="9.1796875" customWidth="1" style="662" min="1035" max="1035"/>
    <col width="11.81640625" customWidth="1" style="662" min="1036" max="1036"/>
    <col width="9.1796875" customWidth="1" style="662" min="1037" max="1280"/>
    <col width="3.81640625" customWidth="1" style="662" min="1281" max="1281"/>
    <col width="9.1796875" customWidth="1" style="662" min="1282" max="1289"/>
    <col width="10.7265625" customWidth="1" style="662" min="1290" max="1290"/>
    <col width="9.1796875" customWidth="1" style="662" min="1291" max="1291"/>
    <col width="11.81640625" customWidth="1" style="662" min="1292" max="1292"/>
    <col width="9.1796875" customWidth="1" style="662" min="1293" max="1536"/>
    <col width="3.81640625" customWidth="1" style="662" min="1537" max="1537"/>
    <col width="9.1796875" customWidth="1" style="662" min="1538" max="1545"/>
    <col width="10.7265625" customWidth="1" style="662" min="1546" max="1546"/>
    <col width="9.1796875" customWidth="1" style="662" min="1547" max="1547"/>
    <col width="11.81640625" customWidth="1" style="662" min="1548" max="1548"/>
    <col width="9.1796875" customWidth="1" style="662" min="1549" max="1792"/>
    <col width="3.81640625" customWidth="1" style="662" min="1793" max="1793"/>
    <col width="9.1796875" customWidth="1" style="662" min="1794" max="1801"/>
    <col width="10.7265625" customWidth="1" style="662" min="1802" max="1802"/>
    <col width="9.1796875" customWidth="1" style="662" min="1803" max="1803"/>
    <col width="11.81640625" customWidth="1" style="662" min="1804" max="1804"/>
    <col width="9.1796875" customWidth="1" style="662" min="1805" max="2048"/>
    <col width="3.81640625" customWidth="1" style="662" min="2049" max="2049"/>
    <col width="9.1796875" customWidth="1" style="662" min="2050" max="2057"/>
    <col width="10.7265625" customWidth="1" style="662" min="2058" max="2058"/>
    <col width="9.1796875" customWidth="1" style="662" min="2059" max="2059"/>
    <col width="11.81640625" customWidth="1" style="662" min="2060" max="2060"/>
    <col width="9.1796875" customWidth="1" style="662" min="2061" max="2304"/>
    <col width="3.81640625" customWidth="1" style="662" min="2305" max="2305"/>
    <col width="9.1796875" customWidth="1" style="662" min="2306" max="2313"/>
    <col width="10.7265625" customWidth="1" style="662" min="2314" max="2314"/>
    <col width="9.1796875" customWidth="1" style="662" min="2315" max="2315"/>
    <col width="11.81640625" customWidth="1" style="662" min="2316" max="2316"/>
    <col width="9.1796875" customWidth="1" style="662" min="2317" max="2560"/>
    <col width="3.81640625" customWidth="1" style="662" min="2561" max="2561"/>
    <col width="9.1796875" customWidth="1" style="662" min="2562" max="2569"/>
    <col width="10.7265625" customWidth="1" style="662" min="2570" max="2570"/>
    <col width="9.1796875" customWidth="1" style="662" min="2571" max="2571"/>
    <col width="11.81640625" customWidth="1" style="662" min="2572" max="2572"/>
    <col width="9.1796875" customWidth="1" style="662" min="2573" max="2816"/>
    <col width="3.81640625" customWidth="1" style="662" min="2817" max="2817"/>
    <col width="9.1796875" customWidth="1" style="662" min="2818" max="2825"/>
    <col width="10.7265625" customWidth="1" style="662" min="2826" max="2826"/>
    <col width="9.1796875" customWidth="1" style="662" min="2827" max="2827"/>
    <col width="11.81640625" customWidth="1" style="662" min="2828" max="2828"/>
    <col width="9.1796875" customWidth="1" style="662" min="2829" max="3072"/>
    <col width="3.81640625" customWidth="1" style="662" min="3073" max="3073"/>
    <col width="9.1796875" customWidth="1" style="662" min="3074" max="3081"/>
    <col width="10.7265625" customWidth="1" style="662" min="3082" max="3082"/>
    <col width="9.1796875" customWidth="1" style="662" min="3083" max="3083"/>
    <col width="11.81640625" customWidth="1" style="662" min="3084" max="3084"/>
    <col width="9.1796875" customWidth="1" style="662" min="3085" max="3328"/>
    <col width="3.81640625" customWidth="1" style="662" min="3329" max="3329"/>
    <col width="9.1796875" customWidth="1" style="662" min="3330" max="3337"/>
    <col width="10.7265625" customWidth="1" style="662" min="3338" max="3338"/>
    <col width="9.1796875" customWidth="1" style="662" min="3339" max="3339"/>
    <col width="11.81640625" customWidth="1" style="662" min="3340" max="3340"/>
    <col width="9.1796875" customWidth="1" style="662" min="3341" max="3584"/>
    <col width="3.81640625" customWidth="1" style="662" min="3585" max="3585"/>
    <col width="9.1796875" customWidth="1" style="662" min="3586" max="3593"/>
    <col width="10.7265625" customWidth="1" style="662" min="3594" max="3594"/>
    <col width="9.1796875" customWidth="1" style="662" min="3595" max="3595"/>
    <col width="11.81640625" customWidth="1" style="662" min="3596" max="3596"/>
    <col width="9.1796875" customWidth="1" style="662" min="3597" max="3840"/>
    <col width="3.81640625" customWidth="1" style="662" min="3841" max="3841"/>
    <col width="9.1796875" customWidth="1" style="662" min="3842" max="3849"/>
    <col width="10.7265625" customWidth="1" style="662" min="3850" max="3850"/>
    <col width="9.1796875" customWidth="1" style="662" min="3851" max="3851"/>
    <col width="11.81640625" customWidth="1" style="662" min="3852" max="3852"/>
    <col width="9.1796875" customWidth="1" style="662" min="3853" max="4096"/>
    <col width="3.81640625" customWidth="1" style="662" min="4097" max="4097"/>
    <col width="9.1796875" customWidth="1" style="662" min="4098" max="4105"/>
    <col width="10.7265625" customWidth="1" style="662" min="4106" max="4106"/>
    <col width="9.1796875" customWidth="1" style="662" min="4107" max="4107"/>
    <col width="11.81640625" customWidth="1" style="662" min="4108" max="4108"/>
    <col width="9.1796875" customWidth="1" style="662" min="4109" max="4352"/>
    <col width="3.81640625" customWidth="1" style="662" min="4353" max="4353"/>
    <col width="9.1796875" customWidth="1" style="662" min="4354" max="4361"/>
    <col width="10.7265625" customWidth="1" style="662" min="4362" max="4362"/>
    <col width="9.1796875" customWidth="1" style="662" min="4363" max="4363"/>
    <col width="11.81640625" customWidth="1" style="662" min="4364" max="4364"/>
    <col width="9.1796875" customWidth="1" style="662" min="4365" max="4608"/>
    <col width="3.81640625" customWidth="1" style="662" min="4609" max="4609"/>
    <col width="9.1796875" customWidth="1" style="662" min="4610" max="4617"/>
    <col width="10.7265625" customWidth="1" style="662" min="4618" max="4618"/>
    <col width="9.1796875" customWidth="1" style="662" min="4619" max="4619"/>
    <col width="11.81640625" customWidth="1" style="662" min="4620" max="4620"/>
    <col width="9.1796875" customWidth="1" style="662" min="4621" max="4864"/>
    <col width="3.81640625" customWidth="1" style="662" min="4865" max="4865"/>
    <col width="9.1796875" customWidth="1" style="662" min="4866" max="4873"/>
    <col width="10.7265625" customWidth="1" style="662" min="4874" max="4874"/>
    <col width="9.1796875" customWidth="1" style="662" min="4875" max="4875"/>
    <col width="11.81640625" customWidth="1" style="662" min="4876" max="4876"/>
    <col width="9.1796875" customWidth="1" style="662" min="4877" max="5120"/>
    <col width="3.81640625" customWidth="1" style="662" min="5121" max="5121"/>
    <col width="9.1796875" customWidth="1" style="662" min="5122" max="5129"/>
    <col width="10.7265625" customWidth="1" style="662" min="5130" max="5130"/>
    <col width="9.1796875" customWidth="1" style="662" min="5131" max="5131"/>
    <col width="11.81640625" customWidth="1" style="662" min="5132" max="5132"/>
    <col width="9.1796875" customWidth="1" style="662" min="5133" max="5376"/>
    <col width="3.81640625" customWidth="1" style="662" min="5377" max="5377"/>
    <col width="9.1796875" customWidth="1" style="662" min="5378" max="5385"/>
    <col width="10.7265625" customWidth="1" style="662" min="5386" max="5386"/>
    <col width="9.1796875" customWidth="1" style="662" min="5387" max="5387"/>
    <col width="11.81640625" customWidth="1" style="662" min="5388" max="5388"/>
    <col width="9.1796875" customWidth="1" style="662" min="5389" max="5632"/>
    <col width="3.81640625" customWidth="1" style="662" min="5633" max="5633"/>
    <col width="9.1796875" customWidth="1" style="662" min="5634" max="5641"/>
    <col width="10.7265625" customWidth="1" style="662" min="5642" max="5642"/>
    <col width="9.1796875" customWidth="1" style="662" min="5643" max="5643"/>
    <col width="11.81640625" customWidth="1" style="662" min="5644" max="5644"/>
    <col width="9.1796875" customWidth="1" style="662" min="5645" max="5888"/>
    <col width="3.81640625" customWidth="1" style="662" min="5889" max="5889"/>
    <col width="9.1796875" customWidth="1" style="662" min="5890" max="5897"/>
    <col width="10.7265625" customWidth="1" style="662" min="5898" max="5898"/>
    <col width="9.1796875" customWidth="1" style="662" min="5899" max="5899"/>
    <col width="11.81640625" customWidth="1" style="662" min="5900" max="5900"/>
    <col width="9.1796875" customWidth="1" style="662" min="5901" max="6144"/>
    <col width="3.81640625" customWidth="1" style="662" min="6145" max="6145"/>
    <col width="9.1796875" customWidth="1" style="662" min="6146" max="6153"/>
    <col width="10.7265625" customWidth="1" style="662" min="6154" max="6154"/>
    <col width="9.1796875" customWidth="1" style="662" min="6155" max="6155"/>
    <col width="11.81640625" customWidth="1" style="662" min="6156" max="6156"/>
    <col width="9.1796875" customWidth="1" style="662" min="6157" max="6400"/>
    <col width="3.81640625" customWidth="1" style="662" min="6401" max="6401"/>
    <col width="9.1796875" customWidth="1" style="662" min="6402" max="6409"/>
    <col width="10.7265625" customWidth="1" style="662" min="6410" max="6410"/>
    <col width="9.1796875" customWidth="1" style="662" min="6411" max="6411"/>
    <col width="11.81640625" customWidth="1" style="662" min="6412" max="6412"/>
    <col width="9.1796875" customWidth="1" style="662" min="6413" max="6656"/>
    <col width="3.81640625" customWidth="1" style="662" min="6657" max="6657"/>
    <col width="9.1796875" customWidth="1" style="662" min="6658" max="6665"/>
    <col width="10.7265625" customWidth="1" style="662" min="6666" max="6666"/>
    <col width="9.1796875" customWidth="1" style="662" min="6667" max="6667"/>
    <col width="11.81640625" customWidth="1" style="662" min="6668" max="6668"/>
    <col width="9.1796875" customWidth="1" style="662" min="6669" max="6912"/>
    <col width="3.81640625" customWidth="1" style="662" min="6913" max="6913"/>
    <col width="9.1796875" customWidth="1" style="662" min="6914" max="6921"/>
    <col width="10.7265625" customWidth="1" style="662" min="6922" max="6922"/>
    <col width="9.1796875" customWidth="1" style="662" min="6923" max="6923"/>
    <col width="11.81640625" customWidth="1" style="662" min="6924" max="6924"/>
    <col width="9.1796875" customWidth="1" style="662" min="6925" max="7168"/>
    <col width="3.81640625" customWidth="1" style="662" min="7169" max="7169"/>
    <col width="9.1796875" customWidth="1" style="662" min="7170" max="7177"/>
    <col width="10.7265625" customWidth="1" style="662" min="7178" max="7178"/>
    <col width="9.1796875" customWidth="1" style="662" min="7179" max="7179"/>
    <col width="11.81640625" customWidth="1" style="662" min="7180" max="7180"/>
    <col width="9.1796875" customWidth="1" style="662" min="7181" max="7424"/>
    <col width="3.81640625" customWidth="1" style="662" min="7425" max="7425"/>
    <col width="9.1796875" customWidth="1" style="662" min="7426" max="7433"/>
    <col width="10.7265625" customWidth="1" style="662" min="7434" max="7434"/>
    <col width="9.1796875" customWidth="1" style="662" min="7435" max="7435"/>
    <col width="11.81640625" customWidth="1" style="662" min="7436" max="7436"/>
    <col width="9.1796875" customWidth="1" style="662" min="7437" max="7680"/>
    <col width="3.81640625" customWidth="1" style="662" min="7681" max="7681"/>
    <col width="9.1796875" customWidth="1" style="662" min="7682" max="7689"/>
    <col width="10.7265625" customWidth="1" style="662" min="7690" max="7690"/>
    <col width="9.1796875" customWidth="1" style="662" min="7691" max="7691"/>
    <col width="11.81640625" customWidth="1" style="662" min="7692" max="7692"/>
    <col width="9.1796875" customWidth="1" style="662" min="7693" max="7936"/>
    <col width="3.81640625" customWidth="1" style="662" min="7937" max="7937"/>
    <col width="9.1796875" customWidth="1" style="662" min="7938" max="7945"/>
    <col width="10.7265625" customWidth="1" style="662" min="7946" max="7946"/>
    <col width="9.1796875" customWidth="1" style="662" min="7947" max="7947"/>
    <col width="11.81640625" customWidth="1" style="662" min="7948" max="7948"/>
    <col width="9.1796875" customWidth="1" style="662" min="7949" max="8192"/>
    <col width="3.81640625" customWidth="1" style="662" min="8193" max="8193"/>
    <col width="9.1796875" customWidth="1" style="662" min="8194" max="8201"/>
    <col width="10.7265625" customWidth="1" style="662" min="8202" max="8202"/>
    <col width="9.1796875" customWidth="1" style="662" min="8203" max="8203"/>
    <col width="11.81640625" customWidth="1" style="662" min="8204" max="8204"/>
    <col width="9.1796875" customWidth="1" style="662" min="8205" max="8448"/>
    <col width="3.81640625" customWidth="1" style="662" min="8449" max="8449"/>
    <col width="9.1796875" customWidth="1" style="662" min="8450" max="8457"/>
    <col width="10.7265625" customWidth="1" style="662" min="8458" max="8458"/>
    <col width="9.1796875" customWidth="1" style="662" min="8459" max="8459"/>
    <col width="11.81640625" customWidth="1" style="662" min="8460" max="8460"/>
    <col width="9.1796875" customWidth="1" style="662" min="8461" max="8704"/>
    <col width="3.81640625" customWidth="1" style="662" min="8705" max="8705"/>
    <col width="9.1796875" customWidth="1" style="662" min="8706" max="8713"/>
    <col width="10.7265625" customWidth="1" style="662" min="8714" max="8714"/>
    <col width="9.1796875" customWidth="1" style="662" min="8715" max="8715"/>
    <col width="11.81640625" customWidth="1" style="662" min="8716" max="8716"/>
    <col width="9.1796875" customWidth="1" style="662" min="8717" max="8960"/>
    <col width="3.81640625" customWidth="1" style="662" min="8961" max="8961"/>
    <col width="9.1796875" customWidth="1" style="662" min="8962" max="8969"/>
    <col width="10.7265625" customWidth="1" style="662" min="8970" max="8970"/>
    <col width="9.1796875" customWidth="1" style="662" min="8971" max="8971"/>
    <col width="11.81640625" customWidth="1" style="662" min="8972" max="8972"/>
    <col width="9.1796875" customWidth="1" style="662" min="8973" max="9216"/>
    <col width="3.81640625" customWidth="1" style="662" min="9217" max="9217"/>
    <col width="9.1796875" customWidth="1" style="662" min="9218" max="9225"/>
    <col width="10.7265625" customWidth="1" style="662" min="9226" max="9226"/>
    <col width="9.1796875" customWidth="1" style="662" min="9227" max="9227"/>
    <col width="11.81640625" customWidth="1" style="662" min="9228" max="9228"/>
    <col width="9.1796875" customWidth="1" style="662" min="9229" max="9472"/>
    <col width="3.81640625" customWidth="1" style="662" min="9473" max="9473"/>
    <col width="9.1796875" customWidth="1" style="662" min="9474" max="9481"/>
    <col width="10.7265625" customWidth="1" style="662" min="9482" max="9482"/>
    <col width="9.1796875" customWidth="1" style="662" min="9483" max="9483"/>
    <col width="11.81640625" customWidth="1" style="662" min="9484" max="9484"/>
    <col width="9.1796875" customWidth="1" style="662" min="9485" max="9728"/>
    <col width="3.81640625" customWidth="1" style="662" min="9729" max="9729"/>
    <col width="9.1796875" customWidth="1" style="662" min="9730" max="9737"/>
    <col width="10.7265625" customWidth="1" style="662" min="9738" max="9738"/>
    <col width="9.1796875" customWidth="1" style="662" min="9739" max="9739"/>
    <col width="11.81640625" customWidth="1" style="662" min="9740" max="9740"/>
    <col width="9.1796875" customWidth="1" style="662" min="9741" max="9984"/>
    <col width="3.81640625" customWidth="1" style="662" min="9985" max="9985"/>
    <col width="9.1796875" customWidth="1" style="662" min="9986" max="9993"/>
    <col width="10.7265625" customWidth="1" style="662" min="9994" max="9994"/>
    <col width="9.1796875" customWidth="1" style="662" min="9995" max="9995"/>
    <col width="11.81640625" customWidth="1" style="662" min="9996" max="9996"/>
    <col width="9.1796875" customWidth="1" style="662" min="9997" max="10240"/>
    <col width="3.81640625" customWidth="1" style="662" min="10241" max="10241"/>
    <col width="9.1796875" customWidth="1" style="662" min="10242" max="10249"/>
    <col width="10.7265625" customWidth="1" style="662" min="10250" max="10250"/>
    <col width="9.1796875" customWidth="1" style="662" min="10251" max="10251"/>
    <col width="11.81640625" customWidth="1" style="662" min="10252" max="10252"/>
    <col width="9.1796875" customWidth="1" style="662" min="10253" max="10496"/>
    <col width="3.81640625" customWidth="1" style="662" min="10497" max="10497"/>
    <col width="9.1796875" customWidth="1" style="662" min="10498" max="10505"/>
    <col width="10.7265625" customWidth="1" style="662" min="10506" max="10506"/>
    <col width="9.1796875" customWidth="1" style="662" min="10507" max="10507"/>
    <col width="11.81640625" customWidth="1" style="662" min="10508" max="10508"/>
    <col width="9.1796875" customWidth="1" style="662" min="10509" max="10752"/>
    <col width="3.81640625" customWidth="1" style="662" min="10753" max="10753"/>
    <col width="9.1796875" customWidth="1" style="662" min="10754" max="10761"/>
    <col width="10.7265625" customWidth="1" style="662" min="10762" max="10762"/>
    <col width="9.1796875" customWidth="1" style="662" min="10763" max="10763"/>
    <col width="11.81640625" customWidth="1" style="662" min="10764" max="10764"/>
    <col width="9.1796875" customWidth="1" style="662" min="10765" max="11008"/>
    <col width="3.81640625" customWidth="1" style="662" min="11009" max="11009"/>
    <col width="9.1796875" customWidth="1" style="662" min="11010" max="11017"/>
    <col width="10.7265625" customWidth="1" style="662" min="11018" max="11018"/>
    <col width="9.1796875" customWidth="1" style="662" min="11019" max="11019"/>
    <col width="11.81640625" customWidth="1" style="662" min="11020" max="11020"/>
    <col width="9.1796875" customWidth="1" style="662" min="11021" max="11264"/>
    <col width="3.81640625" customWidth="1" style="662" min="11265" max="11265"/>
    <col width="9.1796875" customWidth="1" style="662" min="11266" max="11273"/>
    <col width="10.7265625" customWidth="1" style="662" min="11274" max="11274"/>
    <col width="9.1796875" customWidth="1" style="662" min="11275" max="11275"/>
    <col width="11.81640625" customWidth="1" style="662" min="11276" max="11276"/>
    <col width="9.1796875" customWidth="1" style="662" min="11277" max="11520"/>
    <col width="3.81640625" customWidth="1" style="662" min="11521" max="11521"/>
    <col width="9.1796875" customWidth="1" style="662" min="11522" max="11529"/>
    <col width="10.7265625" customWidth="1" style="662" min="11530" max="11530"/>
    <col width="9.1796875" customWidth="1" style="662" min="11531" max="11531"/>
    <col width="11.81640625" customWidth="1" style="662" min="11532" max="11532"/>
    <col width="9.1796875" customWidth="1" style="662" min="11533" max="11776"/>
    <col width="3.81640625" customWidth="1" style="662" min="11777" max="11777"/>
    <col width="9.1796875" customWidth="1" style="662" min="11778" max="11785"/>
    <col width="10.7265625" customWidth="1" style="662" min="11786" max="11786"/>
    <col width="9.1796875" customWidth="1" style="662" min="11787" max="11787"/>
    <col width="11.81640625" customWidth="1" style="662" min="11788" max="11788"/>
    <col width="9.1796875" customWidth="1" style="662" min="11789" max="12032"/>
    <col width="3.81640625" customWidth="1" style="662" min="12033" max="12033"/>
    <col width="9.1796875" customWidth="1" style="662" min="12034" max="12041"/>
    <col width="10.7265625" customWidth="1" style="662" min="12042" max="12042"/>
    <col width="9.1796875" customWidth="1" style="662" min="12043" max="12043"/>
    <col width="11.81640625" customWidth="1" style="662" min="12044" max="12044"/>
    <col width="9.1796875" customWidth="1" style="662" min="12045" max="12288"/>
    <col width="3.81640625" customWidth="1" style="662" min="12289" max="12289"/>
    <col width="9.1796875" customWidth="1" style="662" min="12290" max="12297"/>
    <col width="10.7265625" customWidth="1" style="662" min="12298" max="12298"/>
    <col width="9.1796875" customWidth="1" style="662" min="12299" max="12299"/>
    <col width="11.81640625" customWidth="1" style="662" min="12300" max="12300"/>
    <col width="9.1796875" customWidth="1" style="662" min="12301" max="12544"/>
    <col width="3.81640625" customWidth="1" style="662" min="12545" max="12545"/>
    <col width="9.1796875" customWidth="1" style="662" min="12546" max="12553"/>
    <col width="10.7265625" customWidth="1" style="662" min="12554" max="12554"/>
    <col width="9.1796875" customWidth="1" style="662" min="12555" max="12555"/>
    <col width="11.81640625" customWidth="1" style="662" min="12556" max="12556"/>
    <col width="9.1796875" customWidth="1" style="662" min="12557" max="12800"/>
    <col width="3.81640625" customWidth="1" style="662" min="12801" max="12801"/>
    <col width="9.1796875" customWidth="1" style="662" min="12802" max="12809"/>
    <col width="10.7265625" customWidth="1" style="662" min="12810" max="12810"/>
    <col width="9.1796875" customWidth="1" style="662" min="12811" max="12811"/>
    <col width="11.81640625" customWidth="1" style="662" min="12812" max="12812"/>
    <col width="9.1796875" customWidth="1" style="662" min="12813" max="13056"/>
    <col width="3.81640625" customWidth="1" style="662" min="13057" max="13057"/>
    <col width="9.1796875" customWidth="1" style="662" min="13058" max="13065"/>
    <col width="10.7265625" customWidth="1" style="662" min="13066" max="13066"/>
    <col width="9.1796875" customWidth="1" style="662" min="13067" max="13067"/>
    <col width="11.81640625" customWidth="1" style="662" min="13068" max="13068"/>
    <col width="9.1796875" customWidth="1" style="662" min="13069" max="13312"/>
    <col width="3.81640625" customWidth="1" style="662" min="13313" max="13313"/>
    <col width="9.1796875" customWidth="1" style="662" min="13314" max="13321"/>
    <col width="10.7265625" customWidth="1" style="662" min="13322" max="13322"/>
    <col width="9.1796875" customWidth="1" style="662" min="13323" max="13323"/>
    <col width="11.81640625" customWidth="1" style="662" min="13324" max="13324"/>
    <col width="9.1796875" customWidth="1" style="662" min="13325" max="13568"/>
    <col width="3.81640625" customWidth="1" style="662" min="13569" max="13569"/>
    <col width="9.1796875" customWidth="1" style="662" min="13570" max="13577"/>
    <col width="10.7265625" customWidth="1" style="662" min="13578" max="13578"/>
    <col width="9.1796875" customWidth="1" style="662" min="13579" max="13579"/>
    <col width="11.81640625" customWidth="1" style="662" min="13580" max="13580"/>
    <col width="9.1796875" customWidth="1" style="662" min="13581" max="13824"/>
    <col width="3.81640625" customWidth="1" style="662" min="13825" max="13825"/>
    <col width="9.1796875" customWidth="1" style="662" min="13826" max="13833"/>
    <col width="10.7265625" customWidth="1" style="662" min="13834" max="13834"/>
    <col width="9.1796875" customWidth="1" style="662" min="13835" max="13835"/>
    <col width="11.81640625" customWidth="1" style="662" min="13836" max="13836"/>
    <col width="9.1796875" customWidth="1" style="662" min="13837" max="14080"/>
    <col width="3.81640625" customWidth="1" style="662" min="14081" max="14081"/>
    <col width="9.1796875" customWidth="1" style="662" min="14082" max="14089"/>
    <col width="10.7265625" customWidth="1" style="662" min="14090" max="14090"/>
    <col width="9.1796875" customWidth="1" style="662" min="14091" max="14091"/>
    <col width="11.81640625" customWidth="1" style="662" min="14092" max="14092"/>
    <col width="9.1796875" customWidth="1" style="662" min="14093" max="14336"/>
    <col width="3.81640625" customWidth="1" style="662" min="14337" max="14337"/>
    <col width="9.1796875" customWidth="1" style="662" min="14338" max="14345"/>
    <col width="10.7265625" customWidth="1" style="662" min="14346" max="14346"/>
    <col width="9.1796875" customWidth="1" style="662" min="14347" max="14347"/>
    <col width="11.81640625" customWidth="1" style="662" min="14348" max="14348"/>
    <col width="9.1796875" customWidth="1" style="662" min="14349" max="14592"/>
    <col width="3.81640625" customWidth="1" style="662" min="14593" max="14593"/>
    <col width="9.1796875" customWidth="1" style="662" min="14594" max="14601"/>
    <col width="10.7265625" customWidth="1" style="662" min="14602" max="14602"/>
    <col width="9.1796875" customWidth="1" style="662" min="14603" max="14603"/>
    <col width="11.81640625" customWidth="1" style="662" min="14604" max="14604"/>
    <col width="9.1796875" customWidth="1" style="662" min="14605" max="14848"/>
    <col width="3.81640625" customWidth="1" style="662" min="14849" max="14849"/>
    <col width="9.1796875" customWidth="1" style="662" min="14850" max="14857"/>
    <col width="10.7265625" customWidth="1" style="662" min="14858" max="14858"/>
    <col width="9.1796875" customWidth="1" style="662" min="14859" max="14859"/>
    <col width="11.81640625" customWidth="1" style="662" min="14860" max="14860"/>
    <col width="9.1796875" customWidth="1" style="662" min="14861" max="15104"/>
    <col width="3.81640625" customWidth="1" style="662" min="15105" max="15105"/>
    <col width="9.1796875" customWidth="1" style="662" min="15106" max="15113"/>
    <col width="10.7265625" customWidth="1" style="662" min="15114" max="15114"/>
    <col width="9.1796875" customWidth="1" style="662" min="15115" max="15115"/>
    <col width="11.81640625" customWidth="1" style="662" min="15116" max="15116"/>
    <col width="9.1796875" customWidth="1" style="662" min="15117" max="15360"/>
    <col width="3.81640625" customWidth="1" style="662" min="15361" max="15361"/>
    <col width="9.1796875" customWidth="1" style="662" min="15362" max="15369"/>
    <col width="10.7265625" customWidth="1" style="662" min="15370" max="15370"/>
    <col width="9.1796875" customWidth="1" style="662" min="15371" max="15371"/>
    <col width="11.81640625" customWidth="1" style="662" min="15372" max="15372"/>
    <col width="9.1796875" customWidth="1" style="662" min="15373" max="15616"/>
    <col width="3.81640625" customWidth="1" style="662" min="15617" max="15617"/>
    <col width="9.1796875" customWidth="1" style="662" min="15618" max="15625"/>
    <col width="10.7265625" customWidth="1" style="662" min="15626" max="15626"/>
    <col width="9.1796875" customWidth="1" style="662" min="15627" max="15627"/>
    <col width="11.81640625" customWidth="1" style="662" min="15628" max="15628"/>
    <col width="9.1796875" customWidth="1" style="662" min="15629" max="15872"/>
    <col width="3.81640625" customWidth="1" style="662" min="15873" max="15873"/>
    <col width="9.1796875" customWidth="1" style="662" min="15874" max="15881"/>
    <col width="10.7265625" customWidth="1" style="662" min="15882" max="15882"/>
    <col width="9.1796875" customWidth="1" style="662" min="15883" max="15883"/>
    <col width="11.81640625" customWidth="1" style="662" min="15884" max="15884"/>
    <col width="9.1796875" customWidth="1" style="662" min="15885" max="16128"/>
    <col width="3.81640625" customWidth="1" style="662" min="16129" max="16129"/>
    <col width="9.1796875" customWidth="1" style="662" min="16130" max="16137"/>
    <col width="10.7265625" customWidth="1" style="662" min="16138" max="16138"/>
    <col width="9.1796875" customWidth="1" style="662" min="16139" max="16139"/>
    <col width="11.81640625" customWidth="1" style="662" min="16140" max="16140"/>
    <col width="9.1796875" customWidth="1" style="662" min="16141" max="16384"/>
  </cols>
  <sheetData>
    <row r="1" ht="32.25" customHeight="1">
      <c r="A1" s="895" t="inlineStr">
        <is>
          <t>MPCI</t>
        </is>
      </c>
      <c r="B1" s="657" t="inlineStr">
        <is>
          <t>BOWL NUMBER</t>
        </is>
      </c>
      <c r="C1" s="856" t="n"/>
      <c r="D1" s="856" t="n"/>
      <c r="E1" s="856" t="n"/>
      <c r="F1" s="856" t="n"/>
      <c r="G1" s="856" t="n"/>
      <c r="H1" s="857" t="n"/>
      <c r="I1" s="558" t="inlineStr">
        <is>
          <t>DOC: FRM-112</t>
        </is>
      </c>
      <c r="J1" s="857" t="n"/>
      <c r="K1" s="558" t="inlineStr">
        <is>
          <t>REVISION LEVEL: 002</t>
        </is>
      </c>
      <c r="L1" s="857" t="n"/>
      <c r="M1" s="558" t="inlineStr">
        <is>
          <t>ISSUE DATE:  10/25/05</t>
        </is>
      </c>
      <c r="N1" s="857" t="n"/>
      <c r="Q1" s="46" t="n"/>
      <c r="R1" s="46" t="n"/>
      <c r="S1" s="46" t="n"/>
      <c r="T1" s="46" t="n"/>
      <c r="U1" s="46" t="n"/>
      <c r="V1" s="46" t="n"/>
      <c r="W1" s="46" t="n"/>
      <c r="X1" s="46" t="n"/>
      <c r="Y1" s="46" t="n"/>
      <c r="Z1" s="46" t="n"/>
      <c r="AA1" s="46" t="n"/>
      <c r="AB1" s="46" t="n"/>
      <c r="AC1" s="46" t="n"/>
      <c r="AD1" s="46" t="n"/>
      <c r="AE1" s="46" t="n"/>
      <c r="AF1" s="46" t="n"/>
      <c r="AG1" s="46" t="n"/>
      <c r="AH1" s="46" t="n"/>
      <c r="AI1" s="46" t="n"/>
      <c r="AJ1" s="46" t="n"/>
      <c r="AK1" s="46" t="n"/>
      <c r="AL1" s="46" t="n"/>
      <c r="AM1" s="46" t="n"/>
      <c r="AN1" s="46" t="n"/>
      <c r="AO1" s="46" t="n"/>
      <c r="AP1" s="46" t="n"/>
      <c r="AQ1" s="46" t="n"/>
      <c r="AR1" s="46" t="n"/>
      <c r="AS1" s="46" t="n"/>
      <c r="AT1" s="46" t="n"/>
      <c r="AU1" s="46" t="n"/>
      <c r="AV1" s="46" t="n"/>
      <c r="AW1" s="46" t="n"/>
      <c r="AX1" s="46" t="n"/>
      <c r="AY1" s="46" t="n"/>
      <c r="AZ1" s="46" t="n"/>
      <c r="BA1" s="46" t="n"/>
      <c r="BB1" s="46" t="n"/>
      <c r="BC1" s="46" t="n"/>
      <c r="BD1" s="46" t="n"/>
      <c r="BE1" s="46" t="n"/>
      <c r="BF1" s="46" t="n"/>
      <c r="BG1" s="46" t="n"/>
      <c r="BH1" s="46" t="n"/>
      <c r="BI1" s="46" t="n"/>
      <c r="BJ1" s="46" t="n"/>
      <c r="BK1" s="46" t="n"/>
      <c r="BL1" s="46" t="n"/>
      <c r="BM1" s="46" t="n"/>
      <c r="BO1" s="46" t="n"/>
      <c r="BP1" s="46" t="n"/>
      <c r="BQ1" s="46" t="n"/>
      <c r="BR1" s="46" t="n"/>
      <c r="BS1" s="46" t="n"/>
      <c r="BT1" s="46" t="n"/>
      <c r="BU1" s="46" t="n"/>
      <c r="BV1" s="46" t="n"/>
      <c r="BW1" s="46" t="n"/>
      <c r="BX1" s="46" t="n"/>
      <c r="BY1" s="46" t="n"/>
      <c r="BZ1" s="46" t="n"/>
      <c r="CA1" s="46" t="n"/>
      <c r="CB1" s="46" t="n"/>
    </row>
    <row r="2" ht="30" customHeight="1">
      <c r="A2" s="846" t="n"/>
      <c r="B2" s="660" t="inlineStr">
        <is>
          <t>Form Reviewed by: Quality Coordinator</t>
        </is>
      </c>
      <c r="C2" s="856" t="n"/>
      <c r="D2" s="857" t="n"/>
      <c r="E2" s="660" t="inlineStr">
        <is>
          <t>Form Approved by: Site Manger</t>
        </is>
      </c>
      <c r="F2" s="856" t="n"/>
      <c r="G2" s="857" t="n"/>
      <c r="H2" s="558" t="inlineStr">
        <is>
          <t>Reference:  Pre-Blends PRO-007 Feeder Operation PRO-010;    Process Step # 3 "Blending" and Step # 4 "Feeding"</t>
        </is>
      </c>
      <c r="I2" s="856" t="n"/>
      <c r="J2" s="856" t="n"/>
      <c r="K2" s="856" t="n"/>
      <c r="L2" s="856" t="n"/>
      <c r="M2" s="856" t="n"/>
      <c r="N2" s="857" t="n"/>
      <c r="Q2" s="46" t="n"/>
      <c r="R2" s="46" t="n"/>
      <c r="S2" s="46" t="n"/>
      <c r="T2" s="46" t="n"/>
      <c r="U2" s="46" t="n"/>
      <c r="V2" s="46" t="n"/>
      <c r="W2" s="46" t="n"/>
      <c r="X2" s="46" t="n"/>
      <c r="Y2" s="46" t="n"/>
      <c r="Z2" s="46" t="n"/>
      <c r="AA2" s="46" t="n"/>
      <c r="AB2" s="46" t="n"/>
      <c r="AC2" s="46" t="n"/>
      <c r="AD2" s="46" t="n"/>
      <c r="AE2" s="46" t="n"/>
      <c r="AF2" s="46" t="n"/>
      <c r="AG2" s="46" t="n"/>
      <c r="AH2" s="46" t="n"/>
      <c r="AI2" s="46" t="n"/>
      <c r="AJ2" s="46" t="n"/>
      <c r="AK2" s="46" t="n"/>
      <c r="AL2" s="46" t="n"/>
      <c r="AM2" s="46" t="n"/>
      <c r="AN2" s="46" t="n"/>
      <c r="AO2" s="46" t="n"/>
      <c r="AP2" s="46" t="n"/>
      <c r="AQ2" s="46" t="n"/>
      <c r="AR2" s="46" t="n"/>
      <c r="AS2" s="46" t="n"/>
      <c r="AT2" s="46" t="n"/>
      <c r="AU2" s="46" t="n"/>
      <c r="AV2" s="46" t="n"/>
      <c r="AW2" s="46" t="n"/>
      <c r="AX2" s="46" t="n"/>
      <c r="AY2" s="46" t="n"/>
      <c r="AZ2" s="46" t="n"/>
      <c r="BA2" s="46" t="n"/>
      <c r="BB2" s="46" t="n"/>
      <c r="BC2" s="46" t="n"/>
      <c r="BD2" s="46" t="n"/>
      <c r="BE2" s="46" t="n"/>
      <c r="BF2" s="46" t="n"/>
      <c r="BG2" s="46" t="n"/>
      <c r="BH2" s="46" t="n"/>
      <c r="BI2" s="46" t="n"/>
      <c r="BJ2" s="46" t="n"/>
      <c r="BK2" s="46" t="n"/>
      <c r="BL2" s="46" t="n"/>
      <c r="BM2" s="46" t="n"/>
      <c r="BO2" s="47" t="n"/>
      <c r="BP2" s="47" t="n"/>
      <c r="BQ2" s="47" t="n"/>
      <c r="BR2" s="47" t="n"/>
      <c r="BS2" s="47" t="n"/>
      <c r="BT2" s="47" t="n"/>
      <c r="BU2" s="47" t="n"/>
      <c r="BV2" s="47" t="n"/>
      <c r="BW2" s="47" t="n"/>
      <c r="BX2" s="47" t="n"/>
      <c r="BY2" s="47" t="n"/>
      <c r="BZ2" s="47" t="n"/>
      <c r="CA2" s="47" t="n"/>
      <c r="CB2" s="47" t="n"/>
    </row>
    <row r="4" ht="47.25" customHeight="1"/>
    <row r="5" ht="55.5" customHeight="1" thickBot="1">
      <c r="A5" s="661" t="inlineStr">
        <is>
          <t>JOB #:</t>
        </is>
      </c>
      <c r="H5" s="663" t="n"/>
      <c r="I5" s="896" t="n"/>
      <c r="J5" s="896" t="n"/>
      <c r="K5" s="896" t="n"/>
      <c r="L5" s="896" t="n"/>
      <c r="M5" s="896" t="n"/>
      <c r="N5" s="896" t="n"/>
    </row>
    <row r="6" ht="13.5" customHeight="1">
      <c r="A6" s="194" t="n"/>
    </row>
    <row r="7" ht="57.75" customHeight="1" thickBot="1">
      <c r="A7" s="661" t="inlineStr">
        <is>
          <t>LINE #:</t>
        </is>
      </c>
      <c r="H7" s="663" t="n"/>
      <c r="I7" s="896" t="n"/>
      <c r="J7" s="896" t="n"/>
      <c r="K7" s="896" t="n"/>
      <c r="L7" s="896" t="n"/>
      <c r="M7" s="896" t="n"/>
      <c r="N7" s="896" t="n"/>
    </row>
    <row r="8" ht="18" customHeight="1">
      <c r="A8" s="194" t="n"/>
    </row>
    <row r="9" ht="65.25" customHeight="1" thickBot="1">
      <c r="A9" s="661" t="inlineStr">
        <is>
          <t>BLEND #:</t>
        </is>
      </c>
      <c r="H9" s="663" t="n"/>
      <c r="I9" s="896" t="n"/>
      <c r="J9" s="896" t="n"/>
      <c r="K9" s="896" t="n"/>
      <c r="L9" s="896" t="n"/>
      <c r="M9" s="896" t="n"/>
      <c r="N9" s="896" t="n"/>
    </row>
    <row r="10" ht="21.75" customHeight="1">
      <c r="A10" s="194" t="n"/>
    </row>
    <row r="11" ht="64.5" customHeight="1" thickBot="1">
      <c r="A11" s="661" t="inlineStr">
        <is>
          <t>WEIGHT:</t>
        </is>
      </c>
      <c r="H11" s="663" t="n"/>
      <c r="I11" s="896" t="n"/>
      <c r="J11" s="896" t="n"/>
      <c r="K11" s="896" t="n"/>
      <c r="L11" s="896" t="n"/>
      <c r="M11" s="896" t="n"/>
      <c r="N11" s="896" t="n"/>
    </row>
  </sheetData>
  <sheetProtection selectLockedCells="0" selectUnlockedCells="0" sheet="1" objects="1" insertRows="1" insertHyperlinks="1" autoFilter="1" scenarios="1" formatColumns="1" deleteColumns="1" insertColumns="1" pivotTables="1" deleteRows="1" formatCells="1" formatRows="1" sort="1"/>
  <mergeCells count="16">
    <mergeCell ref="A11:G11"/>
    <mergeCell ref="H11:N11"/>
    <mergeCell ref="A5:G5"/>
    <mergeCell ref="H5:N5"/>
    <mergeCell ref="A7:G7"/>
    <mergeCell ref="H7:N7"/>
    <mergeCell ref="A9:G9"/>
    <mergeCell ref="H9:N9"/>
    <mergeCell ref="A1:A2"/>
    <mergeCell ref="B1:H1"/>
    <mergeCell ref="I1:J1"/>
    <mergeCell ref="K1:L1"/>
    <mergeCell ref="M1:N1"/>
    <mergeCell ref="B2:D2"/>
    <mergeCell ref="E2:G2"/>
    <mergeCell ref="H2:N2"/>
  </mergeCells>
  <printOptions horizontalCentered="1"/>
  <pageMargins left="0.25" right="0.25" top="0.5" bottom="0.75" header="0.5" footer="0.5"/>
  <pageSetup orientation="landscape"/>
  <headerFooter alignWithMargins="0">
    <oddHeader/>
    <oddFooter>&amp;LNETWORK ADDRESS:  _x000a_MPCI data\Forms\_x000a_Production and Operation Forms&amp;C&amp;P of &amp;N&amp;RRETENTION REQUIREMENT:_x000a_N/A not a record</oddFooter>
    <evenHeader/>
    <evenFooter/>
    <firstHeader/>
    <firstFooter/>
  </headerFooter>
</worksheet>
</file>

<file path=xl/worksheets/sheet23.xml><?xml version="1.0" encoding="utf-8"?>
<worksheet xmlns:r="http://schemas.openxmlformats.org/officeDocument/2006/relationships" xmlns="http://schemas.openxmlformats.org/spreadsheetml/2006/main">
  <sheetPr codeName="Sheet24">
    <outlinePr summaryBelow="1" summaryRight="1"/>
    <pageSetUpPr/>
  </sheetPr>
  <dimension ref="A1:AN158"/>
  <sheetViews>
    <sheetView showGridLines="0" zoomScale="115" zoomScaleNormal="115" workbookViewId="0">
      <pane ySplit="1" topLeftCell="A2" activePane="bottomLeft" state="frozen"/>
      <selection pane="bottomLeft" activeCell="E8" sqref="E8"/>
    </sheetView>
  </sheetViews>
  <sheetFormatPr baseColWidth="8" defaultRowHeight="12.5"/>
  <cols>
    <col width="68.26953125" customWidth="1" min="1" max="1"/>
    <col width="9.7265625" customWidth="1" min="2" max="3"/>
    <col width="13.1796875" bestFit="1" customWidth="1" min="4" max="4"/>
    <col width="15" customWidth="1" min="5" max="5"/>
    <col width="9.7265625" customWidth="1" min="6" max="15"/>
    <col width="4.81640625" bestFit="1" customWidth="1" min="33" max="33"/>
    <col width="4.1796875" bestFit="1" customWidth="1" min="34" max="34"/>
    <col width="15.1796875" bestFit="1" customWidth="1" min="35" max="35"/>
    <col width="10.7265625" bestFit="1" customWidth="1" min="36" max="36"/>
    <col width="14.54296875" bestFit="1" customWidth="1" min="37" max="37"/>
    <col width="6.81640625" bestFit="1" customWidth="1" min="38" max="38"/>
    <col width="12.81640625" bestFit="1" customWidth="1" min="39" max="39"/>
    <col width="8.1796875" bestFit="1" customWidth="1" min="40" max="40"/>
    <col width="7.81640625" bestFit="1" customWidth="1" min="41" max="41"/>
    <col width="8.1796875" bestFit="1" customWidth="1" min="42" max="42"/>
  </cols>
  <sheetData>
    <row r="1" ht="46.5" customFormat="1" customHeight="1" s="491">
      <c r="A1" s="490" t="inlineStr">
        <is>
          <t>A NAMES USABLE FOR B</t>
        </is>
      </c>
      <c r="B1" s="490" t="n"/>
      <c r="C1" s="490" t="n"/>
      <c r="D1" s="490" t="inlineStr">
        <is>
          <t>B NAMES</t>
        </is>
      </c>
      <c r="E1" s="490" t="inlineStr">
        <is>
          <t>Formula gen</t>
        </is>
      </c>
      <c r="AA1" s="504" t="inlineStr">
        <is>
          <t>https://learn.microsoft.com/en-us/office/dev/add-ins/overview/explore-with-script-lab</t>
        </is>
      </c>
      <c r="AJ1" s="491" t="inlineStr">
        <is>
          <t>Agitator</t>
        </is>
      </c>
      <c r="AK1" s="491" t="inlineStr">
        <is>
          <t>Screw/Tube mm</t>
        </is>
      </c>
      <c r="AL1" s="491" t="inlineStr">
        <is>
          <t>Switch</t>
        </is>
      </c>
      <c r="AM1" s="491" t="inlineStr">
        <is>
          <t>Drive Comm</t>
        </is>
      </c>
      <c r="AN1" s="491" t="inlineStr">
        <is>
          <t>Min/Max</t>
        </is>
      </c>
    </row>
    <row r="2">
      <c r="A2" t="inlineStr">
        <is>
          <t>AuthorName</t>
        </is>
      </c>
      <c r="D2" t="inlineStr">
        <is>
          <t>TSPreparedBy</t>
        </is>
      </c>
      <c r="E2" s="509" t="inlineStr">
        <is>
          <t>=IF(A2="","","PSSTS.Range(" &amp; """" &amp; D2 &amp; """" &amp; ").formula = ""=" &amp; A2 &amp; """")</t>
        </is>
      </c>
      <c r="AG2" t="inlineStr">
        <is>
          <t>Z1:</t>
        </is>
      </c>
      <c r="AH2" t="n">
        <v>460</v>
      </c>
      <c r="AJ2" t="b">
        <v>1</v>
      </c>
      <c r="AK2" t="inlineStr">
        <is>
          <t>80/80</t>
        </is>
      </c>
      <c r="AL2" t="inlineStr">
        <is>
          <t>N/A</t>
        </is>
      </c>
      <c r="AM2" t="n">
        <v>0.1</v>
      </c>
      <c r="AN2" t="inlineStr">
        <is>
          <t>100/300</t>
        </is>
      </c>
    </row>
    <row r="3" ht="13" customHeight="1">
      <c r="A3" t="inlineStr">
        <is>
          <t>AuthorName</t>
        </is>
      </c>
      <c r="D3" t="inlineStr">
        <is>
          <t>TSPreparedBy</t>
        </is>
      </c>
      <c r="E3" s="492">
        <f>IF(A3="","","PSSTS.Range(" &amp; """" &amp; D3 &amp; """" &amp; ").formula = ""=" &amp; A3 &amp; """")</f>
        <v/>
      </c>
      <c r="L3" s="448" t="inlineStr">
        <is>
          <t>X</t>
        </is>
      </c>
      <c r="M3" s="431" t="inlineStr">
        <is>
          <t>Dynamic, so NO Range Names</t>
        </is>
      </c>
      <c r="Q3" s="448" t="inlineStr">
        <is>
          <t>A</t>
        </is>
      </c>
      <c r="R3" s="431" t="inlineStr">
        <is>
          <t>Collector/Digester/Broadcaster</t>
        </is>
      </c>
      <c r="V3" s="448" t="inlineStr">
        <is>
          <t>B(s)</t>
        </is>
      </c>
      <c r="W3" s="431" t="inlineStr">
        <is>
          <t>Target Sheets fed by A</t>
        </is>
      </c>
      <c r="AG3" t="inlineStr">
        <is>
          <t>Z2:</t>
        </is>
      </c>
      <c r="AH3" t="n">
        <v>460</v>
      </c>
    </row>
    <row r="4">
      <c r="L4" s="494" t="n"/>
      <c r="M4" s="495" t="n"/>
      <c r="N4" s="495" t="n"/>
      <c r="O4" s="496" t="n"/>
      <c r="Q4" s="494" t="n"/>
      <c r="R4" s="495" t="n"/>
      <c r="S4" s="495" t="n"/>
      <c r="T4" s="496" t="n"/>
      <c r="V4" s="494" t="n"/>
      <c r="W4" s="495" t="n"/>
      <c r="X4" s="495" t="n"/>
      <c r="Y4" s="496" t="n"/>
      <c r="AA4" s="503" t="inlineStr">
        <is>
          <t>https://bettersolutions.com/excel/named-ranges/create-from-selection.htm</t>
        </is>
      </c>
      <c r="AG4" t="inlineStr">
        <is>
          <t>Z3:</t>
        </is>
      </c>
      <c r="AH4" t="n">
        <v>460</v>
      </c>
      <c r="AJ4" t="b">
        <v>1</v>
      </c>
      <c r="AK4" t="inlineStr">
        <is>
          <t>80/80</t>
        </is>
      </c>
      <c r="AL4" t="inlineStr">
        <is>
          <t>H</t>
        </is>
      </c>
      <c r="AM4" t="n">
        <v>0.1</v>
      </c>
      <c r="AN4" t="inlineStr">
        <is>
          <t>40/120</t>
        </is>
      </c>
    </row>
    <row r="5">
      <c r="L5" s="497" t="n"/>
      <c r="M5" s="493" t="n"/>
      <c r="N5" s="493" t="n"/>
      <c r="O5" s="498" t="n"/>
      <c r="Q5" s="497" t="n"/>
      <c r="R5" s="493" t="n"/>
      <c r="S5" s="493" t="n"/>
      <c r="T5" s="498" t="n"/>
      <c r="V5" s="497" t="n"/>
      <c r="W5" s="493" t="n"/>
      <c r="X5" s="493" t="n"/>
      <c r="Y5" s="498" t="n"/>
      <c r="AG5" t="inlineStr">
        <is>
          <t>Z4:</t>
        </is>
      </c>
      <c r="AH5" t="n">
        <v>460</v>
      </c>
    </row>
    <row r="6">
      <c r="A6" t="inlineStr">
        <is>
          <t>SubDEVN01</t>
        </is>
      </c>
      <c r="D6" s="431" t="inlineStr">
        <is>
          <t>LADevn01</t>
        </is>
      </c>
      <c r="E6" s="492">
        <f>IF(A6="","","LA.Range(" &amp; """" &amp; D6 &amp; """" &amp; ").formula = ""=" &amp; A6 &amp; """")</f>
        <v/>
      </c>
      <c r="L6" s="497" t="n"/>
      <c r="M6" s="493" t="n"/>
      <c r="N6" s="493" t="n"/>
      <c r="O6" s="498" t="n"/>
      <c r="Q6" s="497" t="n"/>
      <c r="R6" s="493" t="n"/>
      <c r="S6" s="493" t="n"/>
      <c r="T6" s="498" t="n"/>
      <c r="V6" s="497" t="n"/>
      <c r="W6" s="493" t="n"/>
      <c r="X6" s="493" t="n"/>
      <c r="Y6" s="498" t="n"/>
      <c r="AG6" t="inlineStr">
        <is>
          <t>Z5:</t>
        </is>
      </c>
      <c r="AH6" t="n">
        <v>460</v>
      </c>
      <c r="AJ6" t="b">
        <v>1</v>
      </c>
      <c r="AK6" t="inlineStr">
        <is>
          <t>80/80</t>
        </is>
      </c>
      <c r="AL6" t="inlineStr">
        <is>
          <t>H</t>
        </is>
      </c>
      <c r="AM6" t="n">
        <v>0.1</v>
      </c>
      <c r="AN6" t="inlineStr">
        <is>
          <t>75/200</t>
        </is>
      </c>
    </row>
    <row r="7">
      <c r="A7" t="inlineStr">
        <is>
          <t>SubDEVN02</t>
        </is>
      </c>
      <c r="D7" s="431" t="inlineStr">
        <is>
          <t>LADevn02</t>
        </is>
      </c>
      <c r="E7" s="492">
        <f>IF(A7="","","LA.Range(" &amp; """" &amp; D7 &amp; """" &amp; ").formula = ""=" &amp; A7 &amp; """")</f>
        <v/>
      </c>
      <c r="L7" s="497" t="n"/>
      <c r="M7" s="493" t="n"/>
      <c r="N7" s="493" t="n"/>
      <c r="O7" s="498" t="n"/>
      <c r="Q7" s="497" t="n"/>
      <c r="R7" s="493" t="n"/>
      <c r="S7" s="493" t="n"/>
      <c r="T7" s="498" t="n"/>
      <c r="V7" s="497" t="n"/>
      <c r="W7" s="493" t="n"/>
      <c r="X7" s="493" t="n"/>
      <c r="Y7" s="498" t="n"/>
      <c r="AG7" t="inlineStr">
        <is>
          <t>Z6:</t>
        </is>
      </c>
      <c r="AH7" t="n">
        <v>460</v>
      </c>
    </row>
    <row r="8">
      <c r="D8" s="431" t="n"/>
      <c r="E8" s="492" t="n"/>
      <c r="L8" s="497" t="n"/>
      <c r="M8" s="493" t="n"/>
      <c r="N8" s="493" t="n"/>
      <c r="O8" s="498" t="n"/>
      <c r="Q8" s="497" t="n"/>
      <c r="R8" s="493" t="n"/>
      <c r="S8" s="493" t="n"/>
      <c r="T8" s="498" t="n"/>
      <c r="V8" s="497" t="n"/>
      <c r="W8" s="493" t="n"/>
      <c r="X8" s="493" t="n"/>
      <c r="Y8" s="498" t="n"/>
      <c r="AG8" t="inlineStr">
        <is>
          <t>Z7:</t>
        </is>
      </c>
      <c r="AH8" t="n">
        <v>460</v>
      </c>
      <c r="AJ8" t="b">
        <v>1</v>
      </c>
      <c r="AK8" t="inlineStr">
        <is>
          <t>60/60</t>
        </is>
      </c>
      <c r="AL8" t="inlineStr">
        <is>
          <t>H</t>
        </is>
      </c>
      <c r="AM8" t="n">
        <v>0.1</v>
      </c>
      <c r="AN8" t="inlineStr">
        <is>
          <t>40/120</t>
        </is>
      </c>
    </row>
    <row r="9">
      <c r="D9" s="431" t="n"/>
      <c r="E9" s="492" t="n"/>
      <c r="L9" s="497" t="n"/>
      <c r="M9" s="493" t="n"/>
      <c r="N9" s="493" t="n"/>
      <c r="O9" s="498" t="n"/>
      <c r="Q9" s="497" t="n"/>
      <c r="R9" s="493" t="n"/>
      <c r="S9" s="493" t="n"/>
      <c r="T9" s="498" t="n"/>
      <c r="V9" s="497" t="n"/>
      <c r="W9" s="493" t="n"/>
      <c r="X9" s="493" t="n"/>
      <c r="Y9" s="498" t="n"/>
      <c r="AG9" t="inlineStr">
        <is>
          <t>Z8:</t>
        </is>
      </c>
      <c r="AH9" t="n">
        <v>460</v>
      </c>
    </row>
    <row r="10">
      <c r="D10" s="431" t="n"/>
      <c r="E10" s="492" t="n"/>
      <c r="L10" s="497" t="n"/>
      <c r="M10" s="493" t="n"/>
      <c r="N10" s="493" t="n"/>
      <c r="O10" s="498" t="n"/>
      <c r="Q10" s="497" t="n"/>
      <c r="R10" s="493" t="n"/>
      <c r="S10" s="493" t="n"/>
      <c r="T10" s="498" t="n"/>
      <c r="V10" s="497" t="n"/>
      <c r="W10" s="493" t="n"/>
      <c r="X10" s="493" t="n"/>
      <c r="Y10" s="498" t="n"/>
      <c r="AG10" t="inlineStr">
        <is>
          <t>Z9:</t>
        </is>
      </c>
      <c r="AH10" t="n">
        <v>460</v>
      </c>
      <c r="AJ10" t="b">
        <v>1</v>
      </c>
      <c r="AK10" t="inlineStr">
        <is>
          <t>60/60</t>
        </is>
      </c>
      <c r="AL10" t="inlineStr">
        <is>
          <t>N/A</t>
        </is>
      </c>
      <c r="AM10" t="n">
        <v>0.1</v>
      </c>
      <c r="AN10" t="inlineStr">
        <is>
          <t>75/150</t>
        </is>
      </c>
    </row>
    <row r="11">
      <c r="D11" s="431" t="n"/>
      <c r="E11" s="492" t="n"/>
      <c r="L11" s="497" t="n"/>
      <c r="M11" s="493" t="n"/>
      <c r="N11" s="493" t="n"/>
      <c r="O11" s="498" t="n"/>
      <c r="Q11" s="497" t="n"/>
      <c r="R11" s="493" t="n"/>
      <c r="S11" s="493" t="n"/>
      <c r="T11" s="498" t="n"/>
      <c r="V11" s="497" t="n"/>
      <c r="W11" s="493" t="n"/>
      <c r="X11" s="493" t="n"/>
      <c r="Y11" s="498" t="n"/>
      <c r="AG11" t="inlineStr">
        <is>
          <t>Z10:</t>
        </is>
      </c>
      <c r="AH11" t="n">
        <v>460</v>
      </c>
    </row>
    <row r="12">
      <c r="D12" s="431" t="n"/>
      <c r="E12" s="492" t="n"/>
      <c r="L12" s="497" t="n"/>
      <c r="M12" s="493" t="n"/>
      <c r="N12" s="493" t="n"/>
      <c r="O12" s="498" t="n"/>
      <c r="Q12" s="497" t="n"/>
      <c r="R12" s="493" t="n"/>
      <c r="S12" s="493" t="n"/>
      <c r="T12" s="498" t="n"/>
      <c r="V12" s="497" t="n"/>
      <c r="W12" s="493" t="n"/>
      <c r="X12" s="493" t="n"/>
      <c r="Y12" s="498" t="n"/>
      <c r="AG12" t="inlineStr">
        <is>
          <t>Z11:</t>
        </is>
      </c>
      <c r="AH12" t="n">
        <v>460</v>
      </c>
      <c r="AJ12" t="b">
        <v>1</v>
      </c>
      <c r="AK12" t="inlineStr">
        <is>
          <t>60/60</t>
        </is>
      </c>
      <c r="AL12" t="inlineStr">
        <is>
          <t>N/A</t>
        </is>
      </c>
      <c r="AM12" t="n">
        <v>0.1</v>
      </c>
      <c r="AN12" t="inlineStr">
        <is>
          <t>50/100</t>
        </is>
      </c>
    </row>
    <row r="13">
      <c r="D13" s="431" t="n"/>
      <c r="E13" s="492" t="n"/>
      <c r="L13" s="497" t="n"/>
      <c r="M13" s="493" t="n"/>
      <c r="N13" s="493" t="n"/>
      <c r="O13" s="498" t="n"/>
      <c r="Q13" s="497" t="n"/>
      <c r="R13" s="493" t="n"/>
      <c r="S13" s="493" t="n"/>
      <c r="T13" s="498" t="n"/>
      <c r="V13" s="497" t="n"/>
      <c r="W13" s="493" t="n"/>
      <c r="X13" s="493" t="n"/>
      <c r="Y13" s="498" t="n"/>
      <c r="AG13" t="inlineStr">
        <is>
          <t>Z12:</t>
        </is>
      </c>
      <c r="AH13" t="n">
        <v>460</v>
      </c>
    </row>
    <row r="14">
      <c r="D14" s="431" t="n"/>
      <c r="E14" s="492" t="n"/>
      <c r="L14" s="499" t="n"/>
      <c r="M14" s="493" t="n"/>
      <c r="N14" s="493" t="n"/>
      <c r="O14" s="498" t="n"/>
      <c r="Q14" s="499" t="n"/>
      <c r="R14" s="493" t="n"/>
      <c r="S14" s="493" t="n"/>
      <c r="T14" s="498" t="n"/>
      <c r="V14" s="499" t="n"/>
      <c r="W14" s="493" t="n"/>
      <c r="X14" s="493" t="n"/>
      <c r="Y14" s="498" t="n"/>
      <c r="AG14" t="inlineStr">
        <is>
          <t>Z13:</t>
        </is>
      </c>
      <c r="AH14" t="n">
        <v>460</v>
      </c>
      <c r="AJ14" t="b">
        <v>1</v>
      </c>
      <c r="AK14" t="inlineStr">
        <is>
          <t>60/60</t>
        </is>
      </c>
      <c r="AL14" t="inlineStr">
        <is>
          <t>N/A</t>
        </is>
      </c>
      <c r="AM14" t="n">
        <v>0.1</v>
      </c>
      <c r="AN14" t="inlineStr">
        <is>
          <t>50/60</t>
        </is>
      </c>
    </row>
    <row r="15">
      <c r="D15" s="431" t="n"/>
      <c r="E15" s="492" t="n"/>
      <c r="L15" s="500" t="n"/>
      <c r="M15" s="501" t="n"/>
      <c r="N15" s="501" t="n"/>
      <c r="O15" s="502" t="n"/>
      <c r="Q15" s="500" t="n"/>
      <c r="R15" s="501" t="n"/>
      <c r="S15" s="501" t="n"/>
      <c r="T15" s="502" t="n"/>
      <c r="V15" s="500" t="n"/>
      <c r="W15" s="501" t="n"/>
      <c r="X15" s="501" t="n"/>
      <c r="Y15" s="502" t="n"/>
      <c r="AG15" t="inlineStr">
        <is>
          <t>Z14:</t>
        </is>
      </c>
      <c r="AH15" t="n">
        <v>460</v>
      </c>
    </row>
    <row r="16">
      <c r="D16" s="431" t="n"/>
      <c r="E16" s="492" t="n"/>
      <c r="AG16" t="inlineStr">
        <is>
          <t>Die:</t>
        </is>
      </c>
      <c r="AH16" t="n">
        <v>550</v>
      </c>
      <c r="AJ16" t="b">
        <v>1</v>
      </c>
      <c r="AK16" t="inlineStr">
        <is>
          <t>60/60</t>
        </is>
      </c>
      <c r="AL16" t="inlineStr">
        <is>
          <t>N/A</t>
        </is>
      </c>
      <c r="AM16" t="n">
        <v>0.1</v>
      </c>
      <c r="AN16" t="inlineStr">
        <is>
          <t>30/35</t>
        </is>
      </c>
    </row>
    <row r="17">
      <c r="D17" s="431" t="n"/>
      <c r="E17" s="492" t="n"/>
    </row>
    <row r="18" ht="14" customHeight="1">
      <c r="D18" s="431" t="n"/>
      <c r="E18" s="492" t="n"/>
      <c r="L18" s="506" t="n"/>
      <c r="M18" s="506" t="n"/>
      <c r="N18" s="506" t="n"/>
      <c r="O18" s="506" t="n"/>
      <c r="P18" s="506" t="n"/>
      <c r="Q18" s="506" t="n"/>
      <c r="R18" s="506" t="n"/>
      <c r="S18" s="506" t="n"/>
      <c r="T18" s="506" t="n"/>
      <c r="U18" s="506" t="n"/>
      <c r="V18" s="506" t="n"/>
      <c r="AJ18" t="b">
        <v>1</v>
      </c>
      <c r="AK18" t="inlineStr">
        <is>
          <t>40/40</t>
        </is>
      </c>
      <c r="AL18" t="inlineStr">
        <is>
          <t>L</t>
        </is>
      </c>
      <c r="AM18" t="n">
        <v>0.1</v>
      </c>
      <c r="AN18" t="inlineStr">
        <is>
          <t>50/75</t>
        </is>
      </c>
    </row>
    <row r="19" ht="14" customHeight="1">
      <c r="D19" s="431" t="n"/>
      <c r="E19" s="492" t="n"/>
      <c r="L19" s="506" t="inlineStr">
        <is>
          <t>Because Range Names follow dragged cells, you can Arrange them in simple columns and use  /Formulas/Create_from_Selection, Row and/or Column Labels.</t>
        </is>
      </c>
      <c r="M19" s="506" t="n"/>
      <c r="N19" s="506" t="n"/>
      <c r="O19" s="506" t="n"/>
      <c r="P19" s="506" t="n"/>
      <c r="Q19" s="506" t="n"/>
      <c r="R19" s="506" t="n"/>
      <c r="S19" s="506" t="n"/>
      <c r="T19" s="506" t="n"/>
      <c r="U19" s="506" t="n"/>
      <c r="V19" s="506" t="n"/>
    </row>
    <row r="20" ht="14.5" customHeight="1">
      <c r="D20" s="431" t="n"/>
      <c r="E20" s="492" t="n"/>
      <c r="L20" s="506" t="inlineStr">
        <is>
          <t>Do this even on the X (dynamic) sheet(s), because this way we can reuse the same Row/Column Labels, but Prepended (control scoping my way - readable).</t>
        </is>
      </c>
      <c r="M20" s="506" t="n"/>
      <c r="N20" s="506" t="n"/>
      <c r="O20" s="506" t="n"/>
      <c r="P20" s="506" t="n"/>
      <c r="Q20" s="506" t="n"/>
      <c r="R20" s="506" t="n"/>
      <c r="S20" s="506" t="n"/>
      <c r="T20" s="506" t="n"/>
      <c r="U20" s="506" t="n"/>
      <c r="V20" s="506" t="n"/>
    </row>
    <row r="21" ht="14" customHeight="1">
      <c r="D21" s="431" t="n"/>
      <c r="E21" s="492" t="n"/>
      <c r="L21" s="506" t="inlineStr">
        <is>
          <t>On the X sheet, use the RangeNames to generate VBA Consts by doing /Formulas/Use_in_Formula/Paste_Names/Paste_List (eg below)</t>
        </is>
      </c>
      <c r="M21" s="506" t="n"/>
      <c r="N21" s="506" t="n"/>
      <c r="O21" s="506" t="n"/>
      <c r="P21" s="506" t="n"/>
      <c r="Q21" s="506" t="n"/>
      <c r="R21" s="506" t="n"/>
      <c r="S21" s="506" t="n"/>
      <c r="T21" s="506" t="n"/>
      <c r="U21" s="506" t="n"/>
      <c r="V21" s="506" t="n"/>
      <c r="AI21" t="inlineStr">
        <is>
          <t>Screw Design:</t>
        </is>
      </c>
      <c r="AJ21" t="n">
        <v>98</v>
      </c>
      <c r="AM21" t="inlineStr">
        <is>
          <t>Die Hole Size:</t>
        </is>
      </c>
      <c r="AN21" t="n">
        <v>110</v>
      </c>
    </row>
    <row r="22" ht="14" customHeight="1">
      <c r="D22" s="431" t="n"/>
      <c r="E22" s="492" t="n"/>
      <c r="L22" s="506" t="n"/>
      <c r="M22" s="506" t="inlineStr">
        <is>
          <t>In the case of the X sheet only, drag the named ranges where they belong BEFORE you use the Paste_List bit above. So addresses are correct.</t>
        </is>
      </c>
      <c r="N22" s="506" t="n"/>
      <c r="O22" s="506" t="n"/>
      <c r="P22" s="506" t="n"/>
      <c r="Q22" s="506" t="n"/>
      <c r="R22" s="506" t="n"/>
      <c r="S22" s="506" t="n"/>
      <c r="T22" s="506" t="n"/>
      <c r="U22" s="506" t="n"/>
      <c r="V22" s="506" t="n"/>
    </row>
    <row r="23" ht="16" customHeight="1">
      <c r="D23" s="431" t="n"/>
      <c r="E23" s="492" t="n"/>
      <c r="L23" s="506" t="n"/>
      <c r="M23" s="506" t="inlineStr">
        <is>
          <t>Use cell formulas to the concatenate the VBA Declaration text, then delete[1] the Range Names that apply to the X sheet.</t>
        </is>
      </c>
      <c r="N23" s="506" t="n"/>
      <c r="O23" s="506" t="n"/>
      <c r="P23" s="506" t="n"/>
      <c r="Q23" s="506" t="n"/>
      <c r="R23" s="506" t="n"/>
      <c r="S23" s="506" t="n"/>
      <c r="T23" s="506" t="n"/>
      <c r="U23" s="506" t="n"/>
      <c r="V23" s="506" t="n"/>
      <c r="AI23" t="inlineStr">
        <is>
          <t>Feed Rate:</t>
        </is>
      </c>
      <c r="AJ23" t="inlineStr">
        <is>
          <t>&lt;=9000</t>
        </is>
      </c>
      <c r="AK23" t="inlineStr">
        <is>
          <t>Lbs/Hr</t>
        </is>
      </c>
      <c r="AL23" t="inlineStr">
        <is>
          <t>+/-5%</t>
        </is>
      </c>
      <c r="AM23" t="inlineStr">
        <is>
          <t># Open Holes:</t>
        </is>
      </c>
      <c r="AN23" t="n">
        <v>138</v>
      </c>
    </row>
    <row r="24">
      <c r="D24" s="431" t="n"/>
      <c r="E24" s="492" t="n"/>
      <c r="L24" s="505" t="inlineStr">
        <is>
          <t>XnameA</t>
        </is>
      </c>
      <c r="M24" s="505">
        <f>$C$13</f>
        <v/>
      </c>
      <c r="O24" s="492">
        <f> "Public Const " &amp; L24 &amp; " as String = " &amp; """" &amp; SUBSTITUTE(M24,"=","") &amp; """"</f>
        <v/>
      </c>
      <c r="AI24" t="inlineStr">
        <is>
          <t>Screw Speed:</t>
        </is>
      </c>
      <c r="AJ24" t="inlineStr">
        <is>
          <t>&gt;=900</t>
        </is>
      </c>
      <c r="AK24" t="inlineStr">
        <is>
          <t>RPM</t>
        </is>
      </c>
      <c r="AL24" t="inlineStr">
        <is>
          <t>+/-5%</t>
        </is>
      </c>
      <c r="AM24" t="inlineStr">
        <is>
          <t>Die Pattern:</t>
        </is>
      </c>
      <c r="AN24" t="inlineStr">
        <is>
          <t>Open</t>
        </is>
      </c>
    </row>
    <row r="25">
      <c r="D25" s="431" t="n"/>
      <c r="E25" s="492" t="n"/>
      <c r="L25" s="505" t="inlineStr">
        <is>
          <t>XnameB</t>
        </is>
      </c>
      <c r="M25" s="505">
        <f>$G$34</f>
        <v/>
      </c>
      <c r="O25" s="507" t="inlineStr">
        <is>
          <t>= "Public Const " &amp; L24 &amp; " as String = " &amp; """" &amp; SUBSTITUTE(M24,"=","") &amp; """"</t>
        </is>
      </c>
      <c r="AI25" t="inlineStr">
        <is>
          <t>Torque %:</t>
        </is>
      </c>
      <c r="AJ25" t="n">
        <v>80</v>
      </c>
      <c r="AK25" t="inlineStr">
        <is>
          <t>Amps/TQ</t>
        </is>
      </c>
    </row>
    <row r="26">
      <c r="D26" s="431" t="n"/>
      <c r="E26" s="492" t="n"/>
      <c r="L26" s="505" t="inlineStr">
        <is>
          <t>XnameC</t>
        </is>
      </c>
      <c r="M26" s="505">
        <f>$C$7</f>
        <v/>
      </c>
      <c r="O26" s="492">
        <f> "Public Const " &amp; L26 &amp; " as String = " &amp; """" &amp; M26 &amp; """"</f>
        <v/>
      </c>
      <c r="AI26" t="inlineStr">
        <is>
          <t>Vent 1:</t>
        </is>
      </c>
      <c r="AJ26" t="inlineStr">
        <is>
          <t>Plugged</t>
        </is>
      </c>
      <c r="AM26" t="inlineStr">
        <is>
          <t>Water Temp:</t>
        </is>
      </c>
      <c r="AN26" t="inlineStr">
        <is>
          <t>100-130</t>
        </is>
      </c>
    </row>
    <row r="27">
      <c r="D27" s="431" t="n"/>
      <c r="E27" s="492" t="n"/>
      <c r="L27" s="505" t="n"/>
      <c r="M27" s="505" t="n"/>
      <c r="P27" s="507" t="inlineStr">
        <is>
          <t>= "Public Const " &amp; L25 &amp; " as String = " &amp; """" &amp; M25 &amp; """" , variation that leaves the SheetName! convention.</t>
        </is>
      </c>
      <c r="AI27" t="inlineStr">
        <is>
          <t>Vent 2:</t>
        </is>
      </c>
      <c r="AJ27" t="inlineStr">
        <is>
          <t>&gt;24</t>
        </is>
      </c>
      <c r="AM27" t="inlineStr">
        <is>
          <t># Blades:</t>
        </is>
      </c>
      <c r="AN27" t="n">
        <v>10</v>
      </c>
    </row>
    <row r="28" ht="14" customHeight="1">
      <c r="D28" s="431" t="n"/>
      <c r="E28" s="492" t="n"/>
      <c r="L28" s="506" t="n"/>
      <c r="M28" s="506" t="n"/>
      <c r="N28" s="506" t="n"/>
      <c r="O28" s="506" t="n"/>
      <c r="P28" s="506" t="n"/>
      <c r="Q28" s="506" t="n"/>
      <c r="R28" s="506" t="n"/>
      <c r="S28" s="506" t="n"/>
      <c r="T28" s="506" t="n"/>
      <c r="U28" s="506" t="n"/>
      <c r="V28" s="506" t="n"/>
      <c r="W28" s="506" t="n"/>
      <c r="X28" s="506" t="n"/>
      <c r="Y28" s="506" t="n"/>
      <c r="Z28" s="506" t="n"/>
      <c r="AA28" s="506" t="n"/>
      <c r="AI28" t="inlineStr">
        <is>
          <t>Vent 3:</t>
        </is>
      </c>
      <c r="AJ28" t="inlineStr">
        <is>
          <t>&gt;24</t>
        </is>
      </c>
      <c r="AM28" t="inlineStr">
        <is>
          <t>Spring:</t>
        </is>
      </c>
      <c r="AN28" t="inlineStr">
        <is>
          <t>Blue</t>
        </is>
      </c>
    </row>
    <row r="29" ht="14" customHeight="1">
      <c r="D29" s="431" t="n"/>
      <c r="E29" s="492" t="n"/>
      <c r="L29" s="506" t="inlineStr">
        <is>
          <t>Then you can use cell formulas to generate the VBA statements setting the Values|Formulas in the named ranges, en-masse</t>
        </is>
      </c>
      <c r="M29" s="506" t="n"/>
      <c r="N29" s="506" t="n"/>
      <c r="O29" s="506" t="n"/>
      <c r="P29" s="506" t="n"/>
      <c r="Q29" s="506" t="n"/>
      <c r="R29" s="506" t="n"/>
      <c r="S29" s="506" t="n"/>
      <c r="T29" s="506" t="n"/>
      <c r="U29" s="506" t="n"/>
      <c r="V29" s="506" t="n"/>
      <c r="W29" s="506" t="n"/>
      <c r="X29" s="506" t="n"/>
      <c r="Y29" s="506" t="n"/>
      <c r="Z29" s="506" t="n"/>
      <c r="AA29" s="506" t="n"/>
      <c r="AI29" t="inlineStr">
        <is>
          <t>Screen Pack:</t>
        </is>
      </c>
      <c r="AJ29" t="inlineStr">
        <is>
          <t>24X110 DW</t>
        </is>
      </c>
      <c r="AM29" t="inlineStr">
        <is>
          <t>Cutter RPM:</t>
        </is>
      </c>
      <c r="AN29" t="n">
        <v>2200</v>
      </c>
    </row>
    <row r="30" ht="14" customHeight="1">
      <c r="D30" s="431" t="n"/>
      <c r="E30" s="492" t="n"/>
      <c r="L30" s="508" t="inlineStr">
        <is>
          <t>This code can then be pasted into the VBE and tested, before you even drag the named ranges to their actual targets/layout!</t>
        </is>
      </c>
      <c r="N30" s="506" t="n"/>
      <c r="O30" s="506" t="n"/>
      <c r="P30" s="506" t="n"/>
      <c r="Q30" s="506" t="n"/>
      <c r="R30" s="506" t="n"/>
      <c r="S30" s="506" t="n"/>
      <c r="T30" s="506" t="n"/>
      <c r="U30" s="506" t="n"/>
      <c r="V30" s="506" t="n"/>
      <c r="W30" s="506" t="n"/>
      <c r="X30" s="506" t="n"/>
      <c r="Y30" s="506" t="n"/>
      <c r="Z30" s="506" t="n"/>
      <c r="AA30" s="506" t="n"/>
      <c r="AM30" t="inlineStr">
        <is>
          <t>Cutter AMPS:</t>
        </is>
      </c>
      <c r="AN30" t="inlineStr">
        <is>
          <t>&gt;14</t>
        </is>
      </c>
    </row>
    <row r="31" ht="14" customHeight="1">
      <c r="D31" s="431" t="n"/>
      <c r="E31" s="492" t="n"/>
      <c r="L31" s="506" t="inlineStr">
        <is>
          <t>In the example in E2:E3 above, the "PSSTS" is a wrkshtOBJECT, not a string. So define such objects ahead of time and include in codeGen.</t>
        </is>
      </c>
      <c r="M31" s="506" t="n"/>
      <c r="N31" s="506" t="n"/>
      <c r="O31" s="506" t="n"/>
      <c r="P31" s="506" t="n"/>
      <c r="Q31" s="506" t="n"/>
      <c r="R31" s="506" t="n"/>
      <c r="S31" s="506" t="n"/>
      <c r="T31" s="506" t="n"/>
      <c r="U31" s="506" t="n"/>
      <c r="V31" s="506" t="n"/>
      <c r="W31" s="506" t="n"/>
      <c r="X31" s="506" t="n"/>
      <c r="Y31" s="506" t="n"/>
      <c r="Z31" s="506" t="n"/>
      <c r="AA31" s="506" t="n"/>
      <c r="AI31" t="inlineStr">
        <is>
          <t>Press Upstream:</t>
        </is>
      </c>
      <c r="AJ31" t="inlineStr">
        <is>
          <t>Record</t>
        </is>
      </c>
      <c r="AK31" t="inlineStr">
        <is>
          <t>PSI</t>
        </is>
      </c>
      <c r="AM31" t="inlineStr">
        <is>
          <t>Blade Life:</t>
        </is>
      </c>
      <c r="AN31" t="inlineStr">
        <is>
          <t>TBD</t>
        </is>
      </c>
    </row>
    <row r="32" ht="14" customHeight="1">
      <c r="D32" s="431" t="n"/>
      <c r="E32" s="492" t="n"/>
      <c r="L32" s="506" t="n"/>
      <c r="M32" s="506" t="n"/>
      <c r="N32" s="506" t="n"/>
      <c r="O32" s="506" t="n"/>
      <c r="P32" s="506" t="n"/>
      <c r="Q32" s="506" t="n"/>
      <c r="R32" s="506" t="n"/>
      <c r="S32" s="506" t="n"/>
      <c r="T32" s="506" t="n"/>
      <c r="U32" s="506" t="n"/>
      <c r="V32" s="506" t="n"/>
      <c r="W32" s="506" t="n"/>
      <c r="X32" s="506" t="n"/>
      <c r="Y32" s="506" t="n"/>
      <c r="Z32" s="506" t="n"/>
      <c r="AA32" s="506" t="n"/>
      <c r="AI32" t="inlineStr">
        <is>
          <t>Press Dnstream:</t>
        </is>
      </c>
      <c r="AJ32" t="inlineStr">
        <is>
          <t>Record</t>
        </is>
      </c>
      <c r="AK32" t="inlineStr">
        <is>
          <t>PSI</t>
        </is>
      </c>
      <c r="AM32" t="inlineStr">
        <is>
          <t>ClassifierDeck</t>
        </is>
      </c>
      <c r="AN32" t="inlineStr">
        <is>
          <t>xxx</t>
        </is>
      </c>
    </row>
    <row r="33" ht="14" customHeight="1">
      <c r="D33" s="431" t="n"/>
      <c r="E33" s="492" t="n"/>
      <c r="L33" s="506" t="n"/>
      <c r="M33" s="506" t="n"/>
      <c r="N33" s="506" t="n"/>
      <c r="O33" s="506" t="n"/>
      <c r="P33" s="506" t="n"/>
      <c r="Q33" s="506" t="n"/>
      <c r="R33" s="506" t="n"/>
      <c r="S33" s="506" t="n"/>
      <c r="T33" s="506" t="n"/>
      <c r="U33" s="506" t="n"/>
      <c r="V33" s="506" t="n"/>
      <c r="W33" s="506" t="n"/>
      <c r="X33" s="506" t="n"/>
      <c r="Y33" s="506" t="n"/>
      <c r="Z33" s="506" t="n"/>
      <c r="AA33" s="506" t="n"/>
    </row>
    <row r="34" ht="14" customHeight="1">
      <c r="D34" s="431" t="n"/>
      <c r="E34" s="492" t="n"/>
      <c r="L34" s="510" t="inlineStr">
        <is>
          <t>[1] You can wait to delete the X-sheet RangeNames, and use the same methods to re-generate the Consts Address-Strings, leaving names intact.</t>
        </is>
      </c>
      <c r="M34" s="506" t="n"/>
      <c r="N34" s="506" t="n"/>
      <c r="O34" s="506" t="n"/>
      <c r="P34" s="506" t="n"/>
      <c r="Q34" s="506" t="n"/>
      <c r="R34" s="506" t="n"/>
      <c r="S34" s="506" t="n"/>
      <c r="T34" s="506" t="n"/>
      <c r="U34" s="506" t="n"/>
      <c r="V34" s="506" t="n"/>
      <c r="W34" s="506" t="n"/>
      <c r="X34" s="506" t="n"/>
      <c r="Y34" s="506" t="n"/>
      <c r="Z34" s="506" t="n"/>
      <c r="AA34" s="506" t="n"/>
    </row>
    <row r="35" ht="14.5" customHeight="1">
      <c r="D35" s="431" t="n"/>
      <c r="E35" s="492" t="n"/>
      <c r="L35" s="506" t="n"/>
      <c r="M35" s="510" t="inlineStr">
        <is>
          <t>That is, you leave the generated Const-Names intact for use in the VBE. You still delete the X-sheet's RangeNames, after dragging.</t>
        </is>
      </c>
      <c r="N35" s="506" t="n"/>
      <c r="O35" s="506" t="n"/>
      <c r="P35" s="506" t="n"/>
      <c r="Q35" s="506" t="n"/>
      <c r="R35" s="506" t="n"/>
      <c r="S35" s="506" t="n"/>
      <c r="T35" s="506" t="n"/>
      <c r="U35" s="506" t="n"/>
      <c r="V35" s="506" t="n"/>
      <c r="W35" s="506" t="n"/>
      <c r="X35" s="506" t="n"/>
      <c r="Y35" s="506" t="n"/>
      <c r="Z35" s="506" t="n"/>
      <c r="AA35" s="506" t="n"/>
    </row>
    <row r="36" ht="14" customHeight="1">
      <c r="D36" s="431" t="n"/>
      <c r="E36" s="492" t="n"/>
      <c r="L36" s="506" t="n"/>
      <c r="M36" s="506" t="n"/>
      <c r="N36" s="506" t="n"/>
      <c r="O36" s="506" t="n"/>
      <c r="P36" s="506" t="n"/>
      <c r="Q36" s="506" t="n"/>
      <c r="R36" s="506" t="n"/>
      <c r="S36" s="506" t="n"/>
      <c r="T36" s="506" t="n"/>
      <c r="U36" s="506" t="n"/>
      <c r="V36" s="506" t="n"/>
      <c r="W36" s="506" t="n"/>
      <c r="X36" s="506" t="n"/>
      <c r="Y36" s="506" t="n"/>
      <c r="Z36" s="506" t="n"/>
      <c r="AA36" s="506" t="n"/>
    </row>
    <row r="37" ht="14" customHeight="1">
      <c r="D37" s="431" t="n"/>
      <c r="E37" s="492" t="n"/>
      <c r="L37" s="506" t="n"/>
      <c r="M37" s="506" t="n"/>
      <c r="N37" s="506" t="n"/>
      <c r="O37" s="506" t="n"/>
      <c r="P37" s="506" t="n"/>
      <c r="Q37" s="506" t="n"/>
      <c r="R37" s="506" t="n"/>
      <c r="S37" s="506" t="n"/>
      <c r="T37" s="506" t="n"/>
      <c r="U37" s="506" t="n"/>
      <c r="V37" s="506" t="n"/>
      <c r="W37" s="506" t="n"/>
      <c r="X37" s="506" t="n"/>
      <c r="Y37" s="506" t="n"/>
      <c r="Z37" s="506" t="n"/>
      <c r="AA37" s="506" t="n"/>
    </row>
    <row r="38" ht="14" customHeight="1">
      <c r="D38" s="431" t="n"/>
      <c r="E38" s="492" t="n"/>
      <c r="L38" s="506" t="n"/>
      <c r="M38" s="506" t="n"/>
      <c r="N38" s="506" t="n"/>
      <c r="O38" s="506" t="n"/>
      <c r="P38" s="506" t="n"/>
      <c r="Q38" s="506" t="n"/>
      <c r="R38" s="506" t="n"/>
      <c r="S38" s="506" t="n"/>
      <c r="T38" s="506" t="n"/>
      <c r="U38" s="506" t="n"/>
      <c r="V38" s="506" t="n"/>
      <c r="W38" s="506" t="n"/>
      <c r="X38" s="506" t="n"/>
      <c r="Y38" s="506" t="n"/>
      <c r="Z38" s="506" t="n"/>
      <c r="AA38" s="506" t="n"/>
    </row>
    <row r="39" ht="14" customHeight="1">
      <c r="D39" s="431" t="n"/>
      <c r="E39" s="492" t="n"/>
      <c r="L39" s="506" t="n"/>
      <c r="M39" s="506" t="n"/>
      <c r="N39" s="506" t="n"/>
      <c r="O39" s="506" t="n"/>
      <c r="P39" s="506" t="n"/>
      <c r="Q39" s="506" t="n"/>
      <c r="R39" s="506" t="n"/>
      <c r="S39" s="506" t="n"/>
      <c r="T39" s="506" t="n"/>
      <c r="U39" s="506" t="n"/>
      <c r="V39" s="506" t="n"/>
      <c r="W39" s="506" t="n"/>
      <c r="X39" s="506" t="n"/>
      <c r="Y39" s="506" t="n"/>
      <c r="Z39" s="506" t="n"/>
      <c r="AA39" s="506" t="n"/>
    </row>
    <row r="40" ht="14" customHeight="1">
      <c r="D40" s="431" t="n"/>
      <c r="E40" s="492" t="n"/>
      <c r="L40" s="506" t="n"/>
      <c r="M40" s="506" t="n"/>
      <c r="N40" s="506" t="n"/>
      <c r="O40" s="506" t="n"/>
      <c r="P40" s="506" t="n"/>
      <c r="Q40" s="506" t="n"/>
      <c r="R40" s="506" t="n"/>
      <c r="S40" s="506" t="n"/>
      <c r="T40" s="506" t="n"/>
      <c r="U40" s="506" t="n"/>
      <c r="V40" s="506" t="n"/>
      <c r="W40" s="506" t="n"/>
      <c r="X40" s="506" t="n"/>
      <c r="Y40" s="506" t="n"/>
      <c r="Z40" s="506" t="n"/>
      <c r="AA40" s="506" t="n"/>
    </row>
    <row r="41" ht="14" customHeight="1">
      <c r="D41" s="431" t="n"/>
      <c r="E41" s="492" t="n"/>
      <c r="L41" s="506" t="n"/>
      <c r="M41" s="506" t="n"/>
      <c r="N41" s="506" t="n"/>
      <c r="O41" s="506" t="n"/>
      <c r="P41" s="506" t="n"/>
      <c r="Q41" s="506" t="n"/>
      <c r="R41" s="506" t="n"/>
      <c r="S41" s="506" t="n"/>
      <c r="T41" s="506" t="n"/>
      <c r="U41" s="506" t="n"/>
      <c r="V41" s="506" t="n"/>
      <c r="W41" s="506" t="n"/>
      <c r="X41" s="506" t="n"/>
      <c r="Y41" s="506" t="n"/>
      <c r="Z41" s="506" t="n"/>
      <c r="AA41" s="506" t="n"/>
    </row>
    <row r="42" ht="14" customHeight="1">
      <c r="D42" s="431" t="n"/>
      <c r="E42" s="492" t="n"/>
      <c r="L42" s="506" t="n"/>
      <c r="M42" s="506" t="n"/>
      <c r="N42" s="506" t="n"/>
      <c r="O42" s="506" t="n"/>
      <c r="P42" s="506" t="n"/>
      <c r="Q42" s="506" t="n"/>
      <c r="R42" s="506" t="n"/>
      <c r="S42" s="506" t="n"/>
      <c r="T42" s="506" t="n"/>
      <c r="U42" s="506" t="n"/>
      <c r="V42" s="506" t="n"/>
      <c r="W42" s="506" t="n"/>
      <c r="X42" s="506" t="n"/>
      <c r="Y42" s="506" t="n"/>
      <c r="Z42" s="506" t="n"/>
      <c r="AA42" s="506" t="n"/>
    </row>
    <row r="43" ht="14" customHeight="1">
      <c r="D43" s="431" t="n"/>
      <c r="E43" s="492" t="n"/>
      <c r="L43" s="506" t="n"/>
      <c r="M43" s="506" t="n"/>
      <c r="N43" s="506" t="n"/>
      <c r="O43" s="506" t="n"/>
      <c r="P43" s="506" t="n"/>
      <c r="Q43" s="506" t="n"/>
      <c r="R43" s="506" t="n"/>
      <c r="S43" s="506" t="n"/>
      <c r="T43" s="506" t="n"/>
      <c r="U43" s="506" t="n"/>
      <c r="V43" s="506" t="n"/>
      <c r="W43" s="506" t="n"/>
      <c r="X43" s="506" t="n"/>
      <c r="Y43" s="506" t="n"/>
      <c r="Z43" s="506" t="n"/>
      <c r="AA43" s="506" t="n"/>
    </row>
    <row r="44" ht="14" customHeight="1">
      <c r="D44" s="431" t="n"/>
      <c r="E44" s="492" t="n"/>
      <c r="L44" s="506" t="n"/>
      <c r="M44" s="506" t="n"/>
      <c r="N44" s="506" t="n"/>
      <c r="O44" s="506" t="n"/>
      <c r="P44" s="506" t="n"/>
      <c r="Q44" s="506" t="n"/>
      <c r="R44" s="506" t="n"/>
      <c r="S44" s="506" t="n"/>
      <c r="T44" s="506" t="n"/>
      <c r="U44" s="506" t="n"/>
      <c r="V44" s="506" t="n"/>
      <c r="W44" s="506" t="n"/>
      <c r="X44" s="506" t="n"/>
      <c r="Y44" s="506" t="n"/>
      <c r="Z44" s="506" t="n"/>
      <c r="AA44" s="506" t="n"/>
    </row>
    <row r="45" ht="14" customHeight="1">
      <c r="D45" s="431" t="n"/>
      <c r="E45" s="492" t="n"/>
      <c r="L45" s="506" t="n"/>
      <c r="M45" s="506" t="n"/>
      <c r="N45" s="506" t="n"/>
      <c r="O45" s="506" t="n"/>
      <c r="P45" s="506" t="n"/>
      <c r="Q45" s="506" t="n"/>
      <c r="R45" s="506" t="n"/>
      <c r="S45" s="506" t="n"/>
      <c r="T45" s="506" t="n"/>
      <c r="U45" s="506" t="n"/>
      <c r="V45" s="506" t="n"/>
      <c r="W45" s="506" t="n"/>
      <c r="X45" s="506" t="n"/>
      <c r="Y45" s="506" t="n"/>
      <c r="Z45" s="506" t="n"/>
      <c r="AA45" s="506" t="n"/>
    </row>
    <row r="46" ht="14" customHeight="1">
      <c r="D46" s="431" t="n"/>
      <c r="E46" s="492" t="n"/>
      <c r="L46" s="506" t="n"/>
      <c r="M46" s="506" t="n"/>
      <c r="N46" s="506" t="n"/>
      <c r="O46" s="506" t="n"/>
      <c r="P46" s="506" t="n"/>
      <c r="Q46" s="506" t="n"/>
      <c r="R46" s="506" t="n"/>
      <c r="S46" s="506" t="n"/>
      <c r="T46" s="506" t="n"/>
      <c r="U46" s="506" t="n"/>
      <c r="V46" s="506" t="n"/>
      <c r="W46" s="506" t="n"/>
      <c r="X46" s="506" t="n"/>
      <c r="Y46" s="506" t="n"/>
      <c r="Z46" s="506" t="n"/>
      <c r="AA46" s="506" t="n"/>
    </row>
    <row r="47" ht="14" customHeight="1">
      <c r="D47" s="431" t="n"/>
      <c r="E47" s="492" t="n"/>
      <c r="L47" s="506" t="n"/>
      <c r="M47" s="506" t="n"/>
      <c r="N47" s="506" t="n"/>
      <c r="O47" s="506" t="n"/>
      <c r="P47" s="506" t="n"/>
      <c r="Q47" s="506" t="n"/>
      <c r="R47" s="506" t="n"/>
      <c r="S47" s="506" t="n"/>
      <c r="T47" s="506" t="n"/>
      <c r="U47" s="506" t="n"/>
      <c r="V47" s="506" t="n"/>
      <c r="W47" s="506" t="n"/>
      <c r="X47" s="506" t="n"/>
      <c r="Y47" s="506" t="n"/>
      <c r="Z47" s="506" t="n"/>
      <c r="AA47" s="506" t="n"/>
    </row>
    <row r="48" ht="14" customHeight="1">
      <c r="D48" s="431" t="n"/>
      <c r="E48" s="492" t="n"/>
      <c r="L48" s="506" t="n"/>
      <c r="M48" s="506" t="n"/>
      <c r="N48" s="506" t="n"/>
      <c r="O48" s="506" t="n"/>
      <c r="P48" s="506" t="n"/>
      <c r="Q48" s="506" t="n"/>
      <c r="R48" s="506" t="n"/>
      <c r="S48" s="506" t="n"/>
      <c r="T48" s="506" t="n"/>
      <c r="U48" s="506" t="n"/>
      <c r="V48" s="506" t="n"/>
      <c r="W48" s="506" t="n"/>
      <c r="X48" s="506" t="n"/>
      <c r="Y48" s="506" t="n"/>
      <c r="Z48" s="506" t="n"/>
      <c r="AA48" s="506" t="n"/>
    </row>
    <row r="49" ht="14" customHeight="1">
      <c r="D49" s="431" t="n"/>
      <c r="E49" s="492" t="n"/>
      <c r="L49" s="506" t="n"/>
      <c r="M49" s="506" t="n"/>
      <c r="N49" s="506" t="n"/>
      <c r="O49" s="506" t="n"/>
      <c r="P49" s="506" t="n"/>
      <c r="Q49" s="506" t="n"/>
      <c r="R49" s="506" t="n"/>
      <c r="S49" s="506" t="n"/>
      <c r="T49" s="506" t="n"/>
      <c r="U49" s="506" t="n"/>
      <c r="V49" s="506" t="n"/>
      <c r="W49" s="506" t="n"/>
      <c r="X49" s="506" t="n"/>
      <c r="Y49" s="506" t="n"/>
      <c r="Z49" s="506" t="n"/>
      <c r="AA49" s="506" t="n"/>
    </row>
    <row r="50" ht="14" customHeight="1">
      <c r="D50" s="431" t="n"/>
      <c r="E50" s="492" t="n"/>
      <c r="L50" s="506" t="n"/>
      <c r="M50" s="506" t="n"/>
      <c r="N50" s="506" t="n"/>
      <c r="O50" s="506" t="n"/>
      <c r="P50" s="506" t="n"/>
      <c r="Q50" s="506" t="n"/>
      <c r="R50" s="506" t="n"/>
      <c r="S50" s="506" t="n"/>
      <c r="T50" s="506" t="n"/>
      <c r="U50" s="506" t="n"/>
      <c r="V50" s="506" t="n"/>
      <c r="W50" s="506" t="n"/>
      <c r="X50" s="506" t="n"/>
      <c r="Y50" s="506" t="n"/>
      <c r="Z50" s="506" t="n"/>
      <c r="AA50" s="506" t="n"/>
    </row>
    <row r="51" ht="14" customHeight="1">
      <c r="D51" s="431" t="n"/>
      <c r="E51" s="492" t="n"/>
      <c r="L51" s="506" t="n"/>
      <c r="M51" s="506" t="n"/>
      <c r="N51" s="506" t="n"/>
      <c r="O51" s="506" t="n"/>
      <c r="P51" s="506" t="n"/>
      <c r="Q51" s="506" t="n"/>
      <c r="R51" s="506" t="n"/>
      <c r="S51" s="506" t="n"/>
      <c r="T51" s="506" t="n"/>
      <c r="U51" s="506" t="n"/>
      <c r="V51" s="506" t="n"/>
      <c r="W51" s="506" t="n"/>
      <c r="X51" s="506" t="n"/>
      <c r="Y51" s="506" t="n"/>
      <c r="Z51" s="506" t="n"/>
      <c r="AA51" s="506" t="n"/>
    </row>
    <row r="52" ht="14" customHeight="1">
      <c r="D52" s="431" t="n"/>
      <c r="E52" s="492" t="n"/>
      <c r="L52" s="506" t="n"/>
      <c r="M52" s="506" t="n"/>
      <c r="N52" s="506" t="n"/>
      <c r="O52" s="506" t="n"/>
      <c r="P52" s="506" t="n"/>
      <c r="Q52" s="506" t="n"/>
      <c r="R52" s="506" t="n"/>
      <c r="S52" s="506" t="n"/>
      <c r="T52" s="506" t="n"/>
      <c r="U52" s="506" t="n"/>
      <c r="V52" s="506" t="n"/>
      <c r="W52" s="506" t="n"/>
      <c r="X52" s="506" t="n"/>
      <c r="Y52" s="506" t="n"/>
      <c r="Z52" s="506" t="n"/>
      <c r="AA52" s="506" t="n"/>
    </row>
    <row r="53" ht="14" customHeight="1">
      <c r="D53" s="431" t="n"/>
      <c r="E53" s="492" t="n"/>
      <c r="L53" s="506" t="n"/>
      <c r="M53" s="506" t="n"/>
      <c r="N53" s="506" t="n"/>
      <c r="O53" s="506" t="n"/>
      <c r="P53" s="506" t="n"/>
      <c r="Q53" s="506" t="n"/>
      <c r="R53" s="506" t="n"/>
      <c r="S53" s="506" t="n"/>
      <c r="T53" s="506" t="n"/>
      <c r="U53" s="506" t="n"/>
      <c r="V53" s="506" t="n"/>
      <c r="W53" s="506" t="n"/>
      <c r="X53" s="506" t="n"/>
      <c r="Y53" s="506" t="n"/>
      <c r="Z53" s="506" t="n"/>
      <c r="AA53" s="506" t="n"/>
    </row>
    <row r="54" ht="14" customHeight="1">
      <c r="D54" s="431" t="n"/>
      <c r="E54" s="492" t="n"/>
      <c r="L54" s="506" t="n"/>
      <c r="M54" s="506" t="n"/>
      <c r="N54" s="506" t="n"/>
      <c r="O54" s="506" t="n"/>
      <c r="P54" s="506" t="n"/>
      <c r="Q54" s="506" t="n"/>
      <c r="R54" s="506" t="n"/>
      <c r="S54" s="506" t="n"/>
      <c r="T54" s="506" t="n"/>
      <c r="U54" s="506" t="n"/>
      <c r="V54" s="506" t="n"/>
      <c r="W54" s="506" t="n"/>
      <c r="X54" s="506" t="n"/>
      <c r="Y54" s="506" t="n"/>
      <c r="Z54" s="506" t="n"/>
      <c r="AA54" s="506" t="n"/>
    </row>
    <row r="55" ht="14" customHeight="1">
      <c r="D55" s="431" t="n"/>
      <c r="E55" s="492" t="n"/>
      <c r="L55" s="506" t="n"/>
      <c r="M55" s="506" t="n"/>
      <c r="N55" s="506" t="n"/>
      <c r="O55" s="506" t="n"/>
      <c r="P55" s="506" t="n"/>
      <c r="Q55" s="506" t="n"/>
      <c r="R55" s="506" t="n"/>
      <c r="S55" s="506" t="n"/>
      <c r="T55" s="506" t="n"/>
      <c r="U55" s="506" t="n"/>
      <c r="V55" s="506" t="n"/>
      <c r="W55" s="506" t="n"/>
      <c r="X55" s="506" t="n"/>
      <c r="Y55" s="506" t="n"/>
      <c r="Z55" s="506" t="n"/>
      <c r="AA55" s="506" t="n"/>
    </row>
    <row r="56" ht="14" customHeight="1">
      <c r="D56" s="431" t="n"/>
      <c r="E56" s="492" t="n"/>
      <c r="L56" s="506" t="n"/>
      <c r="M56" s="506" t="n"/>
      <c r="N56" s="506" t="n"/>
      <c r="O56" s="506" t="n"/>
      <c r="P56" s="506" t="n"/>
      <c r="Q56" s="506" t="n"/>
      <c r="R56" s="506" t="n"/>
      <c r="S56" s="506" t="n"/>
      <c r="T56" s="506" t="n"/>
      <c r="U56" s="506" t="n"/>
      <c r="V56" s="506" t="n"/>
      <c r="W56" s="506" t="n"/>
      <c r="X56" s="506" t="n"/>
      <c r="Y56" s="506" t="n"/>
      <c r="Z56" s="506" t="n"/>
      <c r="AA56" s="506" t="n"/>
    </row>
    <row r="57" ht="14" customHeight="1">
      <c r="D57" s="431" t="n"/>
      <c r="E57" s="492" t="n"/>
      <c r="L57" s="506" t="n"/>
      <c r="M57" s="506" t="n"/>
      <c r="N57" s="506" t="n"/>
      <c r="O57" s="506" t="n"/>
      <c r="P57" s="506" t="n"/>
      <c r="Q57" s="506" t="n"/>
      <c r="R57" s="506" t="n"/>
      <c r="S57" s="506" t="n"/>
      <c r="T57" s="506" t="n"/>
      <c r="U57" s="506" t="n"/>
      <c r="V57" s="506" t="n"/>
      <c r="W57" s="506" t="n"/>
      <c r="X57" s="506" t="n"/>
      <c r="Y57" s="506" t="n"/>
      <c r="Z57" s="506" t="n"/>
      <c r="AA57" s="506" t="n"/>
    </row>
    <row r="58" ht="14" customHeight="1">
      <c r="D58" s="431" t="n"/>
      <c r="E58" s="492" t="n"/>
      <c r="L58" s="506" t="n"/>
      <c r="M58" s="506" t="n"/>
      <c r="N58" s="506" t="n"/>
      <c r="O58" s="506" t="n"/>
      <c r="P58" s="506" t="n"/>
      <c r="Q58" s="506" t="n"/>
      <c r="R58" s="506" t="n"/>
      <c r="S58" s="506" t="n"/>
      <c r="T58" s="506" t="n"/>
      <c r="U58" s="506" t="n"/>
      <c r="V58" s="506" t="n"/>
      <c r="W58" s="506" t="n"/>
      <c r="X58" s="506" t="n"/>
      <c r="Y58" s="506" t="n"/>
      <c r="Z58" s="506" t="n"/>
      <c r="AA58" s="506" t="n"/>
    </row>
    <row r="59" ht="14" customHeight="1">
      <c r="D59" s="431" t="n"/>
      <c r="E59" s="492" t="n"/>
      <c r="L59" s="506" t="n"/>
      <c r="M59" s="506" t="n"/>
      <c r="N59" s="506" t="n"/>
      <c r="O59" s="506" t="n"/>
      <c r="P59" s="506" t="n"/>
      <c r="Q59" s="506" t="n"/>
      <c r="R59" s="506" t="n"/>
      <c r="S59" s="506" t="n"/>
      <c r="T59" s="506" t="n"/>
      <c r="U59" s="506" t="n"/>
      <c r="V59" s="506" t="n"/>
      <c r="W59" s="506" t="n"/>
      <c r="X59" s="506" t="n"/>
      <c r="Y59" s="506" t="n"/>
      <c r="Z59" s="506" t="n"/>
      <c r="AA59" s="506" t="n"/>
    </row>
    <row r="60" ht="14" customHeight="1">
      <c r="D60" s="431" t="n"/>
      <c r="E60" s="492" t="n"/>
      <c r="L60" s="506" t="n"/>
      <c r="M60" s="506" t="n"/>
      <c r="N60" s="506" t="n"/>
      <c r="O60" s="506" t="n"/>
      <c r="P60" s="506" t="n"/>
      <c r="Q60" s="506" t="n"/>
      <c r="R60" s="506" t="n"/>
      <c r="S60" s="506" t="n"/>
      <c r="T60" s="506" t="n"/>
      <c r="U60" s="506" t="n"/>
      <c r="V60" s="506" t="n"/>
      <c r="W60" s="506" t="n"/>
      <c r="X60" s="506" t="n"/>
      <c r="Y60" s="506" t="n"/>
      <c r="Z60" s="506" t="n"/>
      <c r="AA60" s="506" t="n"/>
    </row>
    <row r="61" ht="14" customHeight="1">
      <c r="D61" s="431" t="n"/>
      <c r="E61" s="492" t="n"/>
      <c r="L61" s="506" t="n"/>
      <c r="M61" s="506" t="n"/>
      <c r="N61" s="506" t="n"/>
      <c r="O61" s="506" t="n"/>
      <c r="P61" s="506" t="n"/>
      <c r="Q61" s="506" t="n"/>
      <c r="R61" s="506" t="n"/>
      <c r="S61" s="506" t="n"/>
      <c r="T61" s="506" t="n"/>
      <c r="U61" s="506" t="n"/>
      <c r="V61" s="506" t="n"/>
      <c r="W61" s="506" t="n"/>
      <c r="X61" s="506" t="n"/>
      <c r="Y61" s="506" t="n"/>
      <c r="Z61" s="506" t="n"/>
      <c r="AA61" s="506" t="n"/>
    </row>
    <row r="62" ht="14" customHeight="1">
      <c r="D62" s="431" t="n"/>
      <c r="E62" s="492" t="n"/>
      <c r="L62" s="506" t="n"/>
      <c r="M62" s="506" t="n"/>
      <c r="N62" s="506" t="n"/>
      <c r="O62" s="506" t="n"/>
      <c r="P62" s="506" t="n"/>
      <c r="Q62" s="506" t="n"/>
      <c r="R62" s="506" t="n"/>
      <c r="S62" s="506" t="n"/>
      <c r="T62" s="506" t="n"/>
      <c r="U62" s="506" t="n"/>
      <c r="V62" s="506" t="n"/>
      <c r="W62" s="506" t="n"/>
      <c r="X62" s="506" t="n"/>
      <c r="Y62" s="506" t="n"/>
      <c r="Z62" s="506" t="n"/>
      <c r="AA62" s="506" t="n"/>
    </row>
    <row r="63" ht="14" customHeight="1">
      <c r="D63" s="431" t="n"/>
      <c r="E63" s="492" t="n"/>
      <c r="L63" s="506" t="n"/>
      <c r="M63" s="506" t="n"/>
      <c r="N63" s="506" t="n"/>
      <c r="O63" s="506" t="n"/>
      <c r="P63" s="506" t="n"/>
      <c r="Q63" s="506" t="n"/>
      <c r="R63" s="506" t="n"/>
      <c r="S63" s="506" t="n"/>
      <c r="T63" s="506" t="n"/>
      <c r="U63" s="506" t="n"/>
      <c r="V63" s="506" t="n"/>
      <c r="W63" s="506" t="n"/>
      <c r="X63" s="506" t="n"/>
      <c r="Y63" s="506" t="n"/>
      <c r="Z63" s="506" t="n"/>
      <c r="AA63" s="506" t="n"/>
    </row>
    <row r="64" ht="14" customHeight="1">
      <c r="D64" s="431" t="n"/>
      <c r="E64" s="492" t="n"/>
      <c r="L64" s="506" t="n"/>
      <c r="M64" s="506" t="n"/>
      <c r="N64" s="506" t="n"/>
      <c r="O64" s="506" t="n"/>
      <c r="P64" s="506" t="n"/>
      <c r="Q64" s="506" t="n"/>
      <c r="R64" s="506" t="n"/>
      <c r="S64" s="506" t="n"/>
      <c r="T64" s="506" t="n"/>
      <c r="U64" s="506" t="n"/>
      <c r="V64" s="506" t="n"/>
      <c r="W64" s="506" t="n"/>
      <c r="X64" s="506" t="n"/>
      <c r="Y64" s="506" t="n"/>
      <c r="Z64" s="506" t="n"/>
      <c r="AA64" s="506" t="n"/>
    </row>
    <row r="65" ht="14" customHeight="1">
      <c r="D65" s="431" t="n"/>
      <c r="E65" s="492" t="n"/>
      <c r="L65" s="506" t="n"/>
      <c r="M65" s="506" t="n"/>
      <c r="N65" s="506" t="n"/>
      <c r="O65" s="506" t="n"/>
      <c r="P65" s="506" t="n"/>
      <c r="Q65" s="506" t="n"/>
      <c r="R65" s="506" t="n"/>
      <c r="S65" s="506" t="n"/>
      <c r="T65" s="506" t="n"/>
      <c r="U65" s="506" t="n"/>
      <c r="V65" s="506" t="n"/>
      <c r="W65" s="506" t="n"/>
      <c r="X65" s="506" t="n"/>
      <c r="Y65" s="506" t="n"/>
      <c r="Z65" s="506" t="n"/>
      <c r="AA65" s="506" t="n"/>
    </row>
    <row r="66" ht="14" customHeight="1">
      <c r="D66" s="431" t="n"/>
      <c r="E66" s="492" t="n"/>
      <c r="L66" s="506" t="n"/>
      <c r="M66" s="506" t="n"/>
      <c r="N66" s="506" t="n"/>
      <c r="O66" s="506" t="n"/>
      <c r="P66" s="506" t="n"/>
      <c r="Q66" s="506" t="n"/>
      <c r="R66" s="506" t="n"/>
      <c r="S66" s="506" t="n"/>
      <c r="T66" s="506" t="n"/>
      <c r="U66" s="506" t="n"/>
      <c r="V66" s="506" t="n"/>
      <c r="W66" s="506" t="n"/>
      <c r="X66" s="506" t="n"/>
      <c r="Y66" s="506" t="n"/>
      <c r="Z66" s="506" t="n"/>
      <c r="AA66" s="506" t="n"/>
    </row>
    <row r="67" ht="14" customHeight="1">
      <c r="D67" s="431" t="n"/>
      <c r="E67" s="492" t="n"/>
      <c r="L67" s="506" t="n"/>
      <c r="M67" s="506" t="n"/>
      <c r="N67" s="506" t="n"/>
      <c r="O67" s="506" t="n"/>
      <c r="P67" s="506" t="n"/>
      <c r="Q67" s="506" t="n"/>
      <c r="R67" s="506" t="n"/>
      <c r="S67" s="506" t="n"/>
      <c r="T67" s="506" t="n"/>
      <c r="U67" s="506" t="n"/>
      <c r="V67" s="506" t="n"/>
      <c r="W67" s="506" t="n"/>
      <c r="X67" s="506" t="n"/>
      <c r="Y67" s="506" t="n"/>
      <c r="Z67" s="506" t="n"/>
      <c r="AA67" s="506" t="n"/>
    </row>
    <row r="68" ht="14" customHeight="1">
      <c r="D68" s="431" t="n"/>
      <c r="E68" s="492" t="n"/>
      <c r="L68" s="506" t="n"/>
      <c r="M68" s="506" t="n"/>
      <c r="N68" s="506" t="n"/>
      <c r="O68" s="506" t="n"/>
      <c r="P68" s="506" t="n"/>
      <c r="Q68" s="506" t="n"/>
      <c r="R68" s="506" t="n"/>
      <c r="S68" s="506" t="n"/>
      <c r="T68" s="506" t="n"/>
      <c r="U68" s="506" t="n"/>
      <c r="V68" s="506" t="n"/>
      <c r="W68" s="506" t="n"/>
      <c r="X68" s="506" t="n"/>
      <c r="Y68" s="506" t="n"/>
      <c r="Z68" s="506" t="n"/>
      <c r="AA68" s="506" t="n"/>
    </row>
    <row r="69" ht="14" customHeight="1">
      <c r="D69" s="431" t="n"/>
      <c r="E69" s="492" t="n"/>
      <c r="L69" s="506" t="n"/>
      <c r="M69" s="506" t="n"/>
      <c r="N69" s="506" t="n"/>
      <c r="O69" s="506" t="n"/>
      <c r="P69" s="506" t="n"/>
      <c r="Q69" s="506" t="n"/>
      <c r="R69" s="506" t="n"/>
      <c r="S69" s="506" t="n"/>
      <c r="T69" s="506" t="n"/>
      <c r="U69" s="506" t="n"/>
      <c r="V69" s="506" t="n"/>
      <c r="W69" s="506" t="n"/>
      <c r="X69" s="506" t="n"/>
      <c r="Y69" s="506" t="n"/>
      <c r="Z69" s="506" t="n"/>
      <c r="AA69" s="506" t="n"/>
    </row>
    <row r="70" ht="14" customHeight="1">
      <c r="D70" s="431" t="n"/>
      <c r="E70" s="492" t="n"/>
      <c r="L70" s="506" t="n"/>
      <c r="M70" s="506" t="n"/>
      <c r="N70" s="506" t="n"/>
      <c r="O70" s="506" t="n"/>
      <c r="P70" s="506" t="n"/>
      <c r="Q70" s="506" t="n"/>
      <c r="R70" s="506" t="n"/>
      <c r="S70" s="506" t="n"/>
      <c r="T70" s="506" t="n"/>
      <c r="U70" s="506" t="n"/>
      <c r="V70" s="506" t="n"/>
      <c r="W70" s="506" t="n"/>
      <c r="X70" s="506" t="n"/>
      <c r="Y70" s="506" t="n"/>
      <c r="Z70" s="506" t="n"/>
      <c r="AA70" s="506" t="n"/>
    </row>
    <row r="71" ht="14" customHeight="1">
      <c r="D71" s="431" t="n"/>
      <c r="E71" s="492" t="n"/>
      <c r="L71" s="506" t="n"/>
      <c r="M71" s="506" t="n"/>
      <c r="N71" s="506" t="n"/>
      <c r="O71" s="506" t="n"/>
      <c r="P71" s="506" t="n"/>
      <c r="Q71" s="506" t="n"/>
      <c r="R71" s="506" t="n"/>
      <c r="S71" s="506" t="n"/>
      <c r="T71" s="506" t="n"/>
      <c r="U71" s="506" t="n"/>
      <c r="V71" s="506" t="n"/>
      <c r="W71" s="506" t="n"/>
      <c r="X71" s="506" t="n"/>
      <c r="Y71" s="506" t="n"/>
      <c r="Z71" s="506" t="n"/>
      <c r="AA71" s="506" t="n"/>
    </row>
    <row r="72" ht="14" customHeight="1">
      <c r="D72" s="431" t="n"/>
      <c r="E72" s="492" t="n"/>
      <c r="L72" s="506" t="n"/>
      <c r="M72" s="506" t="n"/>
      <c r="N72" s="506" t="n"/>
      <c r="O72" s="506" t="n"/>
      <c r="P72" s="506" t="n"/>
      <c r="Q72" s="506" t="n"/>
      <c r="R72" s="506" t="n"/>
      <c r="S72" s="506" t="n"/>
      <c r="T72" s="506" t="n"/>
      <c r="U72" s="506" t="n"/>
      <c r="V72" s="506" t="n"/>
      <c r="W72" s="506" t="n"/>
      <c r="X72" s="506" t="n"/>
      <c r="Y72" s="506" t="n"/>
      <c r="Z72" s="506" t="n"/>
      <c r="AA72" s="506" t="n"/>
    </row>
    <row r="73" ht="14" customHeight="1">
      <c r="D73" s="431" t="n"/>
      <c r="E73" s="492" t="n"/>
      <c r="L73" s="506" t="n"/>
      <c r="M73" s="506" t="n"/>
      <c r="N73" s="506" t="n"/>
      <c r="O73" s="506" t="n"/>
      <c r="P73" s="506" t="n"/>
      <c r="Q73" s="506" t="n"/>
      <c r="R73" s="506" t="n"/>
      <c r="S73" s="506" t="n"/>
      <c r="T73" s="506" t="n"/>
      <c r="U73" s="506" t="n"/>
      <c r="V73" s="506" t="n"/>
      <c r="W73" s="506" t="n"/>
      <c r="X73" s="506" t="n"/>
      <c r="Y73" s="506" t="n"/>
      <c r="Z73" s="506" t="n"/>
      <c r="AA73" s="506" t="n"/>
    </row>
    <row r="74" ht="14" customHeight="1">
      <c r="A74" s="431" t="n"/>
      <c r="D74" s="431" t="n"/>
      <c r="E74" s="492" t="n"/>
      <c r="L74" s="506" t="n"/>
      <c r="M74" s="506" t="n"/>
      <c r="N74" s="506" t="n"/>
      <c r="O74" s="506" t="n"/>
      <c r="P74" s="506" t="n"/>
      <c r="Q74" s="506" t="n"/>
      <c r="R74" s="506" t="n"/>
      <c r="S74" s="506" t="n"/>
      <c r="T74" s="506" t="n"/>
      <c r="U74" s="506" t="n"/>
      <c r="V74" s="506" t="n"/>
      <c r="W74" s="506" t="n"/>
      <c r="X74" s="506" t="n"/>
      <c r="Y74" s="506" t="n"/>
      <c r="Z74" s="506" t="n"/>
      <c r="AA74" s="506" t="n"/>
    </row>
    <row r="75" ht="14" customHeight="1">
      <c r="A75" s="431" t="n"/>
      <c r="D75" s="431" t="n"/>
      <c r="E75" s="492" t="n"/>
      <c r="L75" s="506" t="n"/>
      <c r="M75" s="506" t="n"/>
      <c r="N75" s="506" t="n"/>
      <c r="O75" s="506" t="n"/>
      <c r="P75" s="506" t="n"/>
      <c r="Q75" s="506" t="n"/>
      <c r="R75" s="506" t="n"/>
      <c r="S75" s="506" t="n"/>
      <c r="T75" s="506" t="n"/>
      <c r="U75" s="506" t="n"/>
      <c r="V75" s="506" t="n"/>
      <c r="W75" s="506" t="n"/>
      <c r="X75" s="506" t="n"/>
      <c r="Y75" s="506" t="n"/>
      <c r="Z75" s="506" t="n"/>
      <c r="AA75" s="506" t="n"/>
    </row>
    <row r="76" ht="14" customHeight="1">
      <c r="A76" s="431" t="n"/>
      <c r="D76" s="431" t="n"/>
      <c r="E76" s="492" t="n"/>
      <c r="L76" s="506" t="n"/>
      <c r="M76" s="506" t="n"/>
      <c r="N76" s="506" t="n"/>
      <c r="O76" s="506" t="n"/>
      <c r="P76" s="506" t="n"/>
      <c r="Q76" s="506" t="n"/>
      <c r="R76" s="506" t="n"/>
      <c r="S76" s="506" t="n"/>
      <c r="T76" s="506" t="n"/>
      <c r="U76" s="506" t="n"/>
      <c r="V76" s="506" t="n"/>
      <c r="W76" s="506" t="n"/>
      <c r="X76" s="506" t="n"/>
      <c r="Y76" s="506" t="n"/>
      <c r="Z76" s="506" t="n"/>
      <c r="AA76" s="506" t="n"/>
    </row>
    <row r="77" ht="14" customHeight="1">
      <c r="D77" s="431" t="n"/>
      <c r="E77" s="492" t="n"/>
      <c r="L77" s="506" t="n"/>
      <c r="M77" s="506" t="n"/>
      <c r="N77" s="506" t="n"/>
      <c r="O77" s="506" t="n"/>
      <c r="P77" s="506" t="n"/>
      <c r="Q77" s="506" t="n"/>
      <c r="R77" s="506" t="n"/>
      <c r="S77" s="506" t="n"/>
      <c r="T77" s="506" t="n"/>
      <c r="U77" s="506" t="n"/>
      <c r="V77" s="506" t="n"/>
      <c r="W77" s="506" t="n"/>
      <c r="X77" s="506" t="n"/>
      <c r="Y77" s="506" t="n"/>
      <c r="Z77" s="506" t="n"/>
      <c r="AA77" s="506" t="n"/>
    </row>
    <row r="78" ht="14" customHeight="1">
      <c r="D78" s="431" t="n"/>
      <c r="E78" s="492" t="n"/>
      <c r="L78" s="506" t="n"/>
      <c r="M78" s="506" t="n"/>
      <c r="N78" s="506" t="n"/>
      <c r="O78" s="506" t="n"/>
      <c r="P78" s="506" t="n"/>
      <c r="Q78" s="506" t="n"/>
      <c r="R78" s="506" t="n"/>
      <c r="S78" s="506" t="n"/>
      <c r="T78" s="506" t="n"/>
      <c r="U78" s="506" t="n"/>
      <c r="V78" s="506" t="n"/>
      <c r="W78" s="506" t="n"/>
      <c r="X78" s="506" t="n"/>
      <c r="Y78" s="506" t="n"/>
      <c r="Z78" s="506" t="n"/>
      <c r="AA78" s="506" t="n"/>
    </row>
    <row r="79" ht="14" customHeight="1">
      <c r="D79" s="431" t="n"/>
      <c r="E79" s="492" t="n"/>
      <c r="L79" s="506" t="n"/>
      <c r="M79" s="506" t="n"/>
      <c r="N79" s="506" t="n"/>
      <c r="O79" s="506" t="n"/>
      <c r="P79" s="506" t="n"/>
      <c r="Q79" s="506" t="n"/>
      <c r="R79" s="506" t="n"/>
      <c r="S79" s="506" t="n"/>
      <c r="T79" s="506" t="n"/>
      <c r="U79" s="506" t="n"/>
      <c r="V79" s="506" t="n"/>
      <c r="W79" s="506" t="n"/>
      <c r="X79" s="506" t="n"/>
      <c r="Y79" s="506" t="n"/>
      <c r="Z79" s="506" t="n"/>
      <c r="AA79" s="506" t="n"/>
    </row>
    <row r="80" ht="14" customHeight="1">
      <c r="D80" s="431" t="n"/>
      <c r="E80" s="492" t="n"/>
      <c r="L80" s="506" t="n"/>
      <c r="M80" s="506" t="n"/>
      <c r="N80" s="506" t="n"/>
      <c r="O80" s="506" t="n"/>
      <c r="P80" s="506" t="n"/>
      <c r="Q80" s="506" t="n"/>
      <c r="R80" s="506" t="n"/>
      <c r="S80" s="506" t="n"/>
      <c r="T80" s="506" t="n"/>
      <c r="U80" s="506" t="n"/>
      <c r="V80" s="506" t="n"/>
      <c r="W80" s="506" t="n"/>
      <c r="X80" s="506" t="n"/>
      <c r="Y80" s="506" t="n"/>
      <c r="Z80" s="506" t="n"/>
      <c r="AA80" s="506" t="n"/>
    </row>
    <row r="81" ht="14" customHeight="1">
      <c r="L81" s="506" t="n"/>
      <c r="M81" s="506" t="n"/>
      <c r="N81" s="506" t="n"/>
      <c r="O81" s="506" t="n"/>
      <c r="P81" s="506" t="n"/>
      <c r="Q81" s="506" t="n"/>
      <c r="R81" s="506" t="n"/>
      <c r="S81" s="506" t="n"/>
      <c r="T81" s="506" t="n"/>
      <c r="U81" s="506" t="n"/>
      <c r="V81" s="506" t="n"/>
      <c r="W81" s="506" t="n"/>
      <c r="X81" s="506" t="n"/>
      <c r="Y81" s="506" t="n"/>
      <c r="Z81" s="506" t="n"/>
      <c r="AA81" s="506" t="n"/>
    </row>
    <row r="82" ht="14" customHeight="1">
      <c r="L82" s="506" t="n"/>
      <c r="M82" s="506" t="n"/>
      <c r="N82" s="506" t="n"/>
      <c r="O82" s="506" t="n"/>
      <c r="P82" s="506" t="n"/>
      <c r="Q82" s="506" t="n"/>
      <c r="R82" s="506" t="n"/>
      <c r="S82" s="506" t="n"/>
      <c r="T82" s="506" t="n"/>
      <c r="U82" s="506" t="n"/>
      <c r="V82" s="506" t="n"/>
      <c r="W82" s="506" t="n"/>
      <c r="X82" s="506" t="n"/>
      <c r="Y82" s="506" t="n"/>
      <c r="Z82" s="506" t="n"/>
      <c r="AA82" s="506" t="n"/>
    </row>
    <row r="83" ht="14" customHeight="1">
      <c r="L83" s="506" t="n"/>
      <c r="M83" s="506" t="n"/>
      <c r="N83" s="506" t="n"/>
      <c r="O83" s="506" t="n"/>
      <c r="P83" s="506" t="n"/>
      <c r="Q83" s="506" t="n"/>
      <c r="R83" s="506" t="n"/>
      <c r="S83" s="506" t="n"/>
      <c r="T83" s="506" t="n"/>
      <c r="U83" s="506" t="n"/>
      <c r="V83" s="506" t="n"/>
      <c r="W83" s="506" t="n"/>
      <c r="X83" s="506" t="n"/>
      <c r="Y83" s="506" t="n"/>
      <c r="Z83" s="506" t="n"/>
      <c r="AA83" s="506" t="n"/>
    </row>
    <row r="84" ht="14" customHeight="1">
      <c r="L84" s="506" t="n"/>
      <c r="M84" s="506" t="n"/>
      <c r="N84" s="506" t="n"/>
      <c r="O84" s="506" t="n"/>
      <c r="P84" s="506" t="n"/>
      <c r="Q84" s="506" t="n"/>
      <c r="R84" s="506" t="n"/>
      <c r="S84" s="506" t="n"/>
      <c r="T84" s="506" t="n"/>
      <c r="U84" s="506" t="n"/>
      <c r="V84" s="506" t="n"/>
      <c r="W84" s="506" t="n"/>
      <c r="X84" s="506" t="n"/>
      <c r="Y84" s="506" t="n"/>
      <c r="Z84" s="506" t="n"/>
      <c r="AA84" s="506" t="n"/>
    </row>
    <row r="85" ht="14" customHeight="1">
      <c r="L85" s="506" t="n"/>
      <c r="M85" s="506" t="n"/>
      <c r="N85" s="506" t="n"/>
      <c r="O85" s="506" t="n"/>
      <c r="P85" s="506" t="n"/>
      <c r="Q85" s="506" t="n"/>
      <c r="R85" s="506" t="n"/>
      <c r="S85" s="506" t="n"/>
      <c r="T85" s="506" t="n"/>
      <c r="U85" s="506" t="n"/>
      <c r="V85" s="506" t="n"/>
      <c r="W85" s="506" t="n"/>
      <c r="X85" s="506" t="n"/>
      <c r="Y85" s="506" t="n"/>
      <c r="Z85" s="506" t="n"/>
      <c r="AA85" s="506" t="n"/>
    </row>
    <row r="86" ht="14" customHeight="1">
      <c r="L86" s="506" t="n"/>
      <c r="M86" s="506" t="n"/>
      <c r="N86" s="506" t="n"/>
      <c r="O86" s="506" t="n"/>
      <c r="P86" s="506" t="n"/>
      <c r="Q86" s="506" t="n"/>
      <c r="R86" s="506" t="n"/>
      <c r="S86" s="506" t="n"/>
      <c r="T86" s="506" t="n"/>
      <c r="U86" s="506" t="n"/>
      <c r="V86" s="506" t="n"/>
      <c r="W86" s="506" t="n"/>
      <c r="X86" s="506" t="n"/>
      <c r="Y86" s="506" t="n"/>
      <c r="Z86" s="506" t="n"/>
      <c r="AA86" s="506" t="n"/>
    </row>
    <row r="87" ht="14" customHeight="1">
      <c r="L87" s="506" t="n"/>
      <c r="M87" s="506" t="n"/>
      <c r="N87" s="506" t="n"/>
      <c r="O87" s="506" t="n"/>
      <c r="P87" s="506" t="n"/>
      <c r="Q87" s="506" t="n"/>
      <c r="R87" s="506" t="n"/>
      <c r="S87" s="506" t="n"/>
      <c r="T87" s="506" t="n"/>
      <c r="U87" s="506" t="n"/>
      <c r="V87" s="506" t="n"/>
      <c r="W87" s="506" t="n"/>
      <c r="X87" s="506" t="n"/>
      <c r="Y87" s="506" t="n"/>
      <c r="Z87" s="506" t="n"/>
      <c r="AA87" s="506" t="n"/>
    </row>
    <row r="88" ht="14" customHeight="1">
      <c r="L88" s="506" t="n"/>
      <c r="M88" s="506" t="n"/>
      <c r="N88" s="506" t="n"/>
      <c r="O88" s="506" t="n"/>
      <c r="P88" s="506" t="n"/>
      <c r="Q88" s="506" t="n"/>
      <c r="R88" s="506" t="n"/>
      <c r="S88" s="506" t="n"/>
      <c r="T88" s="506" t="n"/>
      <c r="U88" s="506" t="n"/>
      <c r="V88" s="506" t="n"/>
      <c r="W88" s="506" t="n"/>
      <c r="X88" s="506" t="n"/>
      <c r="Y88" s="506" t="n"/>
      <c r="Z88" s="506" t="n"/>
      <c r="AA88" s="506" t="n"/>
    </row>
    <row r="89" ht="14" customHeight="1">
      <c r="L89" s="506" t="n"/>
      <c r="M89" s="506" t="n"/>
      <c r="N89" s="506" t="n"/>
      <c r="O89" s="506" t="n"/>
      <c r="P89" s="506" t="n"/>
      <c r="Q89" s="506" t="n"/>
      <c r="R89" s="506" t="n"/>
      <c r="S89" s="506" t="n"/>
      <c r="T89" s="506" t="n"/>
      <c r="U89" s="506" t="n"/>
      <c r="V89" s="506" t="n"/>
      <c r="W89" s="506" t="n"/>
      <c r="X89" s="506" t="n"/>
      <c r="Y89" s="506" t="n"/>
      <c r="Z89" s="506" t="n"/>
      <c r="AA89" s="506" t="n"/>
    </row>
    <row r="90" ht="14" customHeight="1">
      <c r="L90" s="506" t="n"/>
      <c r="M90" s="506" t="n"/>
      <c r="N90" s="506" t="n"/>
      <c r="O90" s="506" t="n"/>
      <c r="P90" s="506" t="n"/>
      <c r="Q90" s="506" t="n"/>
      <c r="R90" s="506" t="n"/>
      <c r="S90" s="506" t="n"/>
      <c r="T90" s="506" t="n"/>
      <c r="U90" s="506" t="n"/>
      <c r="V90" s="506" t="n"/>
      <c r="W90" s="506" t="n"/>
      <c r="X90" s="506" t="n"/>
      <c r="Y90" s="506" t="n"/>
      <c r="Z90" s="506" t="n"/>
      <c r="AA90" s="506" t="n"/>
    </row>
    <row r="91" ht="14" customHeight="1">
      <c r="L91" s="506" t="n"/>
      <c r="M91" s="506" t="n"/>
      <c r="N91" s="506" t="n"/>
      <c r="O91" s="506" t="n"/>
      <c r="P91" s="506" t="n"/>
      <c r="Q91" s="506" t="n"/>
      <c r="R91" s="506" t="n"/>
      <c r="S91" s="506" t="n"/>
      <c r="T91" s="506" t="n"/>
      <c r="U91" s="506" t="n"/>
      <c r="V91" s="506" t="n"/>
      <c r="W91" s="506" t="n"/>
      <c r="X91" s="506" t="n"/>
      <c r="Y91" s="506" t="n"/>
      <c r="Z91" s="506" t="n"/>
      <c r="AA91" s="506" t="n"/>
    </row>
    <row r="92" ht="14" customHeight="1">
      <c r="L92" s="506" t="n"/>
      <c r="M92" s="506" t="n"/>
      <c r="N92" s="506" t="n"/>
      <c r="O92" s="506" t="n"/>
      <c r="P92" s="506" t="n"/>
      <c r="Q92" s="506" t="n"/>
      <c r="R92" s="506" t="n"/>
      <c r="S92" s="506" t="n"/>
      <c r="T92" s="506" t="n"/>
      <c r="U92" s="506" t="n"/>
      <c r="V92" s="506" t="n"/>
      <c r="W92" s="506" t="n"/>
      <c r="X92" s="506" t="n"/>
      <c r="Y92" s="506" t="n"/>
      <c r="Z92" s="506" t="n"/>
      <c r="AA92" s="506" t="n"/>
    </row>
    <row r="93" ht="14" customHeight="1">
      <c r="L93" s="506" t="n"/>
      <c r="M93" s="506" t="n"/>
      <c r="N93" s="506" t="n"/>
      <c r="O93" s="506" t="n"/>
      <c r="P93" s="506" t="n"/>
      <c r="Q93" s="506" t="n"/>
      <c r="R93" s="506" t="n"/>
      <c r="S93" s="506" t="n"/>
      <c r="T93" s="506" t="n"/>
      <c r="U93" s="506" t="n"/>
      <c r="V93" s="506" t="n"/>
      <c r="W93" s="506" t="n"/>
      <c r="X93" s="506" t="n"/>
      <c r="Y93" s="506" t="n"/>
      <c r="Z93" s="506" t="n"/>
      <c r="AA93" s="506" t="n"/>
    </row>
    <row r="94" ht="14" customHeight="1">
      <c r="L94" s="506" t="n"/>
      <c r="M94" s="506" t="n"/>
      <c r="N94" s="506" t="n"/>
      <c r="O94" s="506" t="n"/>
      <c r="P94" s="506" t="n"/>
      <c r="Q94" s="506" t="n"/>
      <c r="R94" s="506" t="n"/>
      <c r="S94" s="506" t="n"/>
      <c r="T94" s="506" t="n"/>
      <c r="U94" s="506" t="n"/>
      <c r="V94" s="506" t="n"/>
      <c r="W94" s="506" t="n"/>
      <c r="X94" s="506" t="n"/>
      <c r="Y94" s="506" t="n"/>
      <c r="Z94" s="506" t="n"/>
      <c r="AA94" s="506" t="n"/>
    </row>
    <row r="95" ht="14" customHeight="1">
      <c r="L95" s="506" t="n"/>
      <c r="M95" s="506" t="n"/>
      <c r="N95" s="506" t="n"/>
      <c r="O95" s="506" t="n"/>
      <c r="P95" s="506" t="n"/>
      <c r="Q95" s="506" t="n"/>
      <c r="R95" s="506" t="n"/>
      <c r="S95" s="506" t="n"/>
      <c r="T95" s="506" t="n"/>
      <c r="U95" s="506" t="n"/>
      <c r="V95" s="506" t="n"/>
      <c r="W95" s="506" t="n"/>
      <c r="X95" s="506" t="n"/>
      <c r="Y95" s="506" t="n"/>
      <c r="Z95" s="506" t="n"/>
      <c r="AA95" s="506" t="n"/>
    </row>
    <row r="96" ht="14" customHeight="1">
      <c r="L96" s="506" t="n"/>
      <c r="M96" s="506" t="n"/>
      <c r="N96" s="506" t="n"/>
      <c r="O96" s="506" t="n"/>
      <c r="P96" s="506" t="n"/>
      <c r="Q96" s="506" t="n"/>
      <c r="R96" s="506" t="n"/>
      <c r="S96" s="506" t="n"/>
      <c r="T96" s="506" t="n"/>
      <c r="U96" s="506" t="n"/>
      <c r="V96" s="506" t="n"/>
      <c r="W96" s="506" t="n"/>
      <c r="X96" s="506" t="n"/>
      <c r="Y96" s="506" t="n"/>
      <c r="Z96" s="506" t="n"/>
      <c r="AA96" s="506" t="n"/>
    </row>
    <row r="97" ht="14" customHeight="1">
      <c r="L97" s="506" t="n"/>
      <c r="M97" s="506" t="n"/>
      <c r="N97" s="506" t="n"/>
      <c r="O97" s="506" t="n"/>
      <c r="P97" s="506" t="n"/>
      <c r="Q97" s="506" t="n"/>
      <c r="R97" s="506" t="n"/>
      <c r="S97" s="506" t="n"/>
      <c r="T97" s="506" t="n"/>
      <c r="U97" s="506" t="n"/>
      <c r="V97" s="506" t="n"/>
      <c r="W97" s="506" t="n"/>
      <c r="X97" s="506" t="n"/>
      <c r="Y97" s="506" t="n"/>
      <c r="Z97" s="506" t="n"/>
      <c r="AA97" s="506" t="n"/>
    </row>
    <row r="98" ht="14" customHeight="1">
      <c r="L98" s="506" t="n"/>
      <c r="M98" s="506" t="n"/>
      <c r="N98" s="506" t="n"/>
      <c r="O98" s="506" t="n"/>
      <c r="P98" s="506" t="n"/>
      <c r="Q98" s="506" t="n"/>
      <c r="R98" s="506" t="n"/>
      <c r="S98" s="506" t="n"/>
      <c r="T98" s="506" t="n"/>
      <c r="U98" s="506" t="n"/>
      <c r="V98" s="506" t="n"/>
      <c r="W98" s="506" t="n"/>
      <c r="X98" s="506" t="n"/>
      <c r="Y98" s="506" t="n"/>
      <c r="Z98" s="506" t="n"/>
      <c r="AA98" s="506" t="n"/>
    </row>
    <row r="99" ht="14" customHeight="1">
      <c r="L99" s="506" t="n"/>
      <c r="M99" s="506" t="n"/>
      <c r="N99" s="506" t="n"/>
      <c r="O99" s="506" t="n"/>
      <c r="P99" s="506" t="n"/>
      <c r="Q99" s="506" t="n"/>
      <c r="R99" s="506" t="n"/>
      <c r="S99" s="506" t="n"/>
      <c r="T99" s="506" t="n"/>
      <c r="U99" s="506" t="n"/>
      <c r="V99" s="506" t="n"/>
      <c r="W99" s="506" t="n"/>
      <c r="X99" s="506" t="n"/>
      <c r="Y99" s="506" t="n"/>
      <c r="Z99" s="506" t="n"/>
      <c r="AA99" s="506" t="n"/>
    </row>
    <row r="100" ht="14" customHeight="1">
      <c r="L100" s="506" t="n"/>
      <c r="M100" s="506" t="n"/>
      <c r="N100" s="506" t="n"/>
      <c r="O100" s="506" t="n"/>
      <c r="P100" s="506" t="n"/>
      <c r="Q100" s="506" t="n"/>
      <c r="R100" s="506" t="n"/>
      <c r="S100" s="506" t="n"/>
      <c r="T100" s="506" t="n"/>
      <c r="U100" s="506" t="n"/>
      <c r="V100" s="506" t="n"/>
      <c r="W100" s="506" t="n"/>
      <c r="X100" s="506" t="n"/>
      <c r="Y100" s="506" t="n"/>
      <c r="Z100" s="506" t="n"/>
      <c r="AA100" s="506" t="n"/>
    </row>
    <row r="101" ht="14" customHeight="1">
      <c r="L101" s="506" t="n"/>
      <c r="M101" s="506" t="n"/>
      <c r="N101" s="506" t="n"/>
      <c r="O101" s="506" t="n"/>
      <c r="P101" s="506" t="n"/>
      <c r="Q101" s="506" t="n"/>
      <c r="R101" s="506" t="n"/>
      <c r="S101" s="506" t="n"/>
      <c r="T101" s="506" t="n"/>
      <c r="U101" s="506" t="n"/>
      <c r="V101" s="506" t="n"/>
      <c r="W101" s="506" t="n"/>
      <c r="X101" s="506" t="n"/>
      <c r="Y101" s="506" t="n"/>
      <c r="Z101" s="506" t="n"/>
      <c r="AA101" s="506" t="n"/>
    </row>
    <row r="102" ht="14" customHeight="1">
      <c r="L102" s="506" t="n"/>
      <c r="M102" s="506" t="n"/>
      <c r="N102" s="506" t="n"/>
      <c r="O102" s="506" t="n"/>
      <c r="P102" s="506" t="n"/>
      <c r="Q102" s="506" t="n"/>
      <c r="R102" s="506" t="n"/>
      <c r="S102" s="506" t="n"/>
      <c r="T102" s="506" t="n"/>
      <c r="U102" s="506" t="n"/>
      <c r="V102" s="506" t="n"/>
      <c r="W102" s="506" t="n"/>
      <c r="X102" s="506" t="n"/>
      <c r="Y102" s="506" t="n"/>
      <c r="Z102" s="506" t="n"/>
      <c r="AA102" s="506" t="n"/>
    </row>
    <row r="103" ht="14" customHeight="1">
      <c r="L103" s="506" t="n"/>
      <c r="M103" s="506" t="n"/>
      <c r="N103" s="506" t="n"/>
      <c r="O103" s="506" t="n"/>
      <c r="P103" s="506" t="n"/>
      <c r="Q103" s="506" t="n"/>
      <c r="R103" s="506" t="n"/>
      <c r="S103" s="506" t="n"/>
      <c r="T103" s="506" t="n"/>
      <c r="U103" s="506" t="n"/>
      <c r="V103" s="506" t="n"/>
      <c r="W103" s="506" t="n"/>
      <c r="X103" s="506" t="n"/>
      <c r="Y103" s="506" t="n"/>
      <c r="Z103" s="506" t="n"/>
      <c r="AA103" s="506" t="n"/>
    </row>
    <row r="104" ht="14" customHeight="1">
      <c r="L104" s="506" t="n"/>
      <c r="M104" s="506" t="n"/>
      <c r="N104" s="506" t="n"/>
      <c r="O104" s="506" t="n"/>
      <c r="P104" s="506" t="n"/>
      <c r="Q104" s="506" t="n"/>
      <c r="R104" s="506" t="n"/>
      <c r="S104" s="506" t="n"/>
      <c r="T104" s="506" t="n"/>
      <c r="U104" s="506" t="n"/>
      <c r="V104" s="506" t="n"/>
      <c r="W104" s="506" t="n"/>
      <c r="X104" s="506" t="n"/>
      <c r="Y104" s="506" t="n"/>
      <c r="Z104" s="506" t="n"/>
      <c r="AA104" s="506" t="n"/>
    </row>
    <row r="105" ht="14" customHeight="1">
      <c r="L105" s="506" t="n"/>
      <c r="M105" s="506" t="n"/>
      <c r="N105" s="506" t="n"/>
      <c r="O105" s="506" t="n"/>
      <c r="P105" s="506" t="n"/>
      <c r="Q105" s="506" t="n"/>
      <c r="R105" s="506" t="n"/>
      <c r="S105" s="506" t="n"/>
      <c r="T105" s="506" t="n"/>
      <c r="U105" s="506" t="n"/>
      <c r="V105" s="506" t="n"/>
      <c r="W105" s="506" t="n"/>
      <c r="X105" s="506" t="n"/>
      <c r="Y105" s="506" t="n"/>
      <c r="Z105" s="506" t="n"/>
      <c r="AA105" s="506" t="n"/>
    </row>
    <row r="106" ht="14" customHeight="1">
      <c r="L106" s="506" t="n"/>
      <c r="M106" s="506" t="n"/>
      <c r="N106" s="506" t="n"/>
      <c r="O106" s="506" t="n"/>
      <c r="P106" s="506" t="n"/>
      <c r="Q106" s="506" t="n"/>
      <c r="R106" s="506" t="n"/>
      <c r="S106" s="506" t="n"/>
      <c r="T106" s="506" t="n"/>
      <c r="U106" s="506" t="n"/>
      <c r="V106" s="506" t="n"/>
      <c r="W106" s="506" t="n"/>
      <c r="X106" s="506" t="n"/>
      <c r="Y106" s="506" t="n"/>
      <c r="Z106" s="506" t="n"/>
      <c r="AA106" s="506" t="n"/>
    </row>
    <row r="107" ht="14" customHeight="1">
      <c r="L107" s="506" t="n"/>
      <c r="M107" s="506" t="n"/>
      <c r="N107" s="506" t="n"/>
      <c r="O107" s="506" t="n"/>
      <c r="P107" s="506" t="n"/>
      <c r="Q107" s="506" t="n"/>
      <c r="R107" s="506" t="n"/>
      <c r="S107" s="506" t="n"/>
      <c r="T107" s="506" t="n"/>
      <c r="U107" s="506" t="n"/>
      <c r="V107" s="506" t="n"/>
      <c r="W107" s="506" t="n"/>
      <c r="X107" s="506" t="n"/>
      <c r="Y107" s="506" t="n"/>
      <c r="Z107" s="506" t="n"/>
      <c r="AA107" s="506" t="n"/>
    </row>
    <row r="108" ht="14" customHeight="1">
      <c r="L108" s="506" t="n"/>
      <c r="M108" s="506" t="n"/>
      <c r="N108" s="506" t="n"/>
      <c r="O108" s="506" t="n"/>
      <c r="P108" s="506" t="n"/>
      <c r="Q108" s="506" t="n"/>
      <c r="R108" s="506" t="n"/>
      <c r="S108" s="506" t="n"/>
      <c r="T108" s="506" t="n"/>
      <c r="U108" s="506" t="n"/>
      <c r="V108" s="506" t="n"/>
      <c r="W108" s="506" t="n"/>
      <c r="X108" s="506" t="n"/>
      <c r="Y108" s="506" t="n"/>
      <c r="Z108" s="506" t="n"/>
      <c r="AA108" s="506" t="n"/>
    </row>
    <row r="109" ht="14" customHeight="1">
      <c r="L109" s="506" t="n"/>
      <c r="M109" s="506" t="n"/>
      <c r="N109" s="506" t="n"/>
      <c r="O109" s="506" t="n"/>
      <c r="P109" s="506" t="n"/>
      <c r="Q109" s="506" t="n"/>
      <c r="R109" s="506" t="n"/>
      <c r="S109" s="506" t="n"/>
      <c r="T109" s="506" t="n"/>
      <c r="U109" s="506" t="n"/>
      <c r="V109" s="506" t="n"/>
      <c r="W109" s="506" t="n"/>
      <c r="X109" s="506" t="n"/>
      <c r="Y109" s="506" t="n"/>
      <c r="Z109" s="506" t="n"/>
      <c r="AA109" s="506" t="n"/>
    </row>
    <row r="110" ht="14" customHeight="1">
      <c r="L110" s="506" t="n"/>
      <c r="M110" s="506" t="n"/>
      <c r="N110" s="506" t="n"/>
      <c r="O110" s="506" t="n"/>
      <c r="P110" s="506" t="n"/>
      <c r="Q110" s="506" t="n"/>
      <c r="R110" s="506" t="n"/>
      <c r="S110" s="506" t="n"/>
      <c r="T110" s="506" t="n"/>
      <c r="U110" s="506" t="n"/>
      <c r="V110" s="506" t="n"/>
      <c r="W110" s="506" t="n"/>
      <c r="X110" s="506" t="n"/>
      <c r="Y110" s="506" t="n"/>
      <c r="Z110" s="506" t="n"/>
      <c r="AA110" s="506" t="n"/>
    </row>
    <row r="111" ht="14" customHeight="1">
      <c r="L111" s="506" t="n"/>
      <c r="M111" s="506" t="n"/>
      <c r="N111" s="506" t="n"/>
      <c r="O111" s="506" t="n"/>
      <c r="P111" s="506" t="n"/>
      <c r="Q111" s="506" t="n"/>
      <c r="R111" s="506" t="n"/>
      <c r="S111" s="506" t="n"/>
      <c r="T111" s="506" t="n"/>
      <c r="U111" s="506" t="n"/>
      <c r="V111" s="506" t="n"/>
      <c r="W111" s="506" t="n"/>
      <c r="X111" s="506" t="n"/>
      <c r="Y111" s="506" t="n"/>
      <c r="Z111" s="506" t="n"/>
      <c r="AA111" s="506" t="n"/>
    </row>
    <row r="112" ht="14" customHeight="1">
      <c r="L112" s="506" t="n"/>
      <c r="M112" s="506" t="n"/>
      <c r="N112" s="506" t="n"/>
      <c r="O112" s="506" t="n"/>
      <c r="P112" s="506" t="n"/>
      <c r="Q112" s="506" t="n"/>
      <c r="R112" s="506" t="n"/>
      <c r="S112" s="506" t="n"/>
      <c r="T112" s="506" t="n"/>
      <c r="U112" s="506" t="n"/>
      <c r="V112" s="506" t="n"/>
      <c r="W112" s="506" t="n"/>
      <c r="X112" s="506" t="n"/>
      <c r="Y112" s="506" t="n"/>
      <c r="Z112" s="506" t="n"/>
      <c r="AA112" s="506" t="n"/>
    </row>
    <row r="113" ht="14" customHeight="1">
      <c r="L113" s="506" t="n"/>
      <c r="M113" s="506" t="n"/>
      <c r="N113" s="506" t="n"/>
      <c r="O113" s="506" t="n"/>
      <c r="P113" s="506" t="n"/>
      <c r="Q113" s="506" t="n"/>
      <c r="R113" s="506" t="n"/>
      <c r="S113" s="506" t="n"/>
      <c r="T113" s="506" t="n"/>
      <c r="U113" s="506" t="n"/>
      <c r="V113" s="506" t="n"/>
      <c r="W113" s="506" t="n"/>
      <c r="X113" s="506" t="n"/>
      <c r="Y113" s="506" t="n"/>
      <c r="Z113" s="506" t="n"/>
      <c r="AA113" s="506" t="n"/>
    </row>
    <row r="114" ht="14" customHeight="1">
      <c r="L114" s="506" t="n"/>
      <c r="M114" s="506" t="n"/>
      <c r="N114" s="506" t="n"/>
      <c r="O114" s="506" t="n"/>
      <c r="P114" s="506" t="n"/>
      <c r="Q114" s="506" t="n"/>
      <c r="R114" s="506" t="n"/>
      <c r="S114" s="506" t="n"/>
      <c r="T114" s="506" t="n"/>
      <c r="U114" s="506" t="n"/>
      <c r="V114" s="506" t="n"/>
      <c r="W114" s="506" t="n"/>
      <c r="X114" s="506" t="n"/>
      <c r="Y114" s="506" t="n"/>
      <c r="Z114" s="506" t="n"/>
      <c r="AA114" s="506" t="n"/>
    </row>
    <row r="115" ht="14" customHeight="1">
      <c r="L115" s="506" t="n"/>
      <c r="M115" s="506" t="n"/>
      <c r="N115" s="506" t="n"/>
      <c r="O115" s="506" t="n"/>
      <c r="P115" s="506" t="n"/>
      <c r="Q115" s="506" t="n"/>
      <c r="R115" s="506" t="n"/>
      <c r="S115" s="506" t="n"/>
      <c r="T115" s="506" t="n"/>
      <c r="U115" s="506" t="n"/>
      <c r="V115" s="506" t="n"/>
      <c r="W115" s="506" t="n"/>
      <c r="X115" s="506" t="n"/>
      <c r="Y115" s="506" t="n"/>
      <c r="Z115" s="506" t="n"/>
      <c r="AA115" s="506" t="n"/>
    </row>
    <row r="116" ht="14" customHeight="1">
      <c r="L116" s="506" t="n"/>
      <c r="M116" s="506" t="n"/>
      <c r="N116" s="506" t="n"/>
      <c r="O116" s="506" t="n"/>
      <c r="P116" s="506" t="n"/>
      <c r="Q116" s="506" t="n"/>
      <c r="R116" s="506" t="n"/>
      <c r="S116" s="506" t="n"/>
      <c r="T116" s="506" t="n"/>
      <c r="U116" s="506" t="n"/>
      <c r="V116" s="506" t="n"/>
      <c r="W116" s="506" t="n"/>
      <c r="X116" s="506" t="n"/>
      <c r="Y116" s="506" t="n"/>
      <c r="Z116" s="506" t="n"/>
      <c r="AA116" s="506" t="n"/>
    </row>
    <row r="117" ht="14" customHeight="1">
      <c r="L117" s="506" t="n"/>
      <c r="M117" s="506" t="n"/>
      <c r="N117" s="506" t="n"/>
      <c r="O117" s="506" t="n"/>
      <c r="P117" s="506" t="n"/>
      <c r="Q117" s="506" t="n"/>
      <c r="R117" s="506" t="n"/>
      <c r="S117" s="506" t="n"/>
      <c r="T117" s="506" t="n"/>
      <c r="U117" s="506" t="n"/>
      <c r="V117" s="506" t="n"/>
      <c r="W117" s="506" t="n"/>
      <c r="X117" s="506" t="n"/>
      <c r="Y117" s="506" t="n"/>
      <c r="Z117" s="506" t="n"/>
      <c r="AA117" s="506" t="n"/>
    </row>
    <row r="118" ht="14" customHeight="1">
      <c r="D118" s="448" t="n"/>
      <c r="L118" s="506" t="n"/>
      <c r="M118" s="506" t="n"/>
      <c r="N118" s="506" t="n"/>
      <c r="O118" s="506" t="n"/>
      <c r="P118" s="506" t="n"/>
      <c r="Q118" s="506" t="n"/>
      <c r="R118" s="506" t="n"/>
      <c r="S118" s="506" t="n"/>
      <c r="T118" s="506" t="n"/>
      <c r="U118" s="506" t="n"/>
      <c r="V118" s="506" t="n"/>
      <c r="W118" s="506" t="n"/>
      <c r="X118" s="506" t="n"/>
      <c r="Y118" s="506" t="n"/>
      <c r="Z118" s="506" t="n"/>
      <c r="AA118" s="506" t="n"/>
    </row>
    <row r="119" ht="14" customHeight="1">
      <c r="D119" s="448" t="n"/>
      <c r="L119" s="506" t="n"/>
      <c r="M119" s="506" t="n"/>
      <c r="N119" s="506" t="n"/>
      <c r="O119" s="506" t="n"/>
      <c r="P119" s="506" t="n"/>
      <c r="Q119" s="506" t="n"/>
      <c r="R119" s="506" t="n"/>
      <c r="S119" s="506" t="n"/>
      <c r="T119" s="506" t="n"/>
      <c r="U119" s="506" t="n"/>
      <c r="V119" s="506" t="n"/>
      <c r="W119" s="506" t="n"/>
      <c r="X119" s="506" t="n"/>
      <c r="Y119" s="506" t="n"/>
      <c r="Z119" s="506" t="n"/>
      <c r="AA119" s="506" t="n"/>
    </row>
    <row r="120" ht="14" customHeight="1">
      <c r="L120" s="506" t="n"/>
      <c r="M120" s="506" t="n"/>
      <c r="N120" s="506" t="n"/>
      <c r="O120" s="506" t="n"/>
      <c r="P120" s="506" t="n"/>
      <c r="Q120" s="506" t="n"/>
      <c r="R120" s="506" t="n"/>
      <c r="S120" s="506" t="n"/>
      <c r="T120" s="506" t="n"/>
      <c r="U120" s="506" t="n"/>
      <c r="V120" s="506" t="n"/>
      <c r="W120" s="506" t="n"/>
      <c r="X120" s="506" t="n"/>
      <c r="Y120" s="506" t="n"/>
      <c r="Z120" s="506" t="n"/>
      <c r="AA120" s="506" t="n"/>
    </row>
    <row r="121" ht="14" customHeight="1">
      <c r="L121" s="506" t="n"/>
      <c r="M121" s="506" t="n"/>
      <c r="N121" s="506" t="n"/>
      <c r="O121" s="506" t="n"/>
      <c r="P121" s="506" t="n"/>
      <c r="Q121" s="506" t="n"/>
      <c r="R121" s="506" t="n"/>
      <c r="S121" s="506" t="n"/>
      <c r="T121" s="506" t="n"/>
      <c r="U121" s="506" t="n"/>
      <c r="V121" s="506" t="n"/>
      <c r="W121" s="506" t="n"/>
      <c r="X121" s="506" t="n"/>
      <c r="Y121" s="506" t="n"/>
      <c r="Z121" s="506" t="n"/>
      <c r="AA121" s="506" t="n"/>
    </row>
    <row r="122" ht="14" customHeight="1">
      <c r="L122" s="506" t="n"/>
      <c r="M122" s="506" t="n"/>
      <c r="N122" s="506" t="n"/>
      <c r="O122" s="506" t="n"/>
      <c r="P122" s="506" t="n"/>
      <c r="Q122" s="506" t="n"/>
      <c r="R122" s="506" t="n"/>
      <c r="S122" s="506" t="n"/>
      <c r="T122" s="506" t="n"/>
      <c r="U122" s="506" t="n"/>
      <c r="V122" s="506" t="n"/>
      <c r="W122" s="506" t="n"/>
      <c r="X122" s="506" t="n"/>
      <c r="Y122" s="506" t="n"/>
      <c r="Z122" s="506" t="n"/>
      <c r="AA122" s="506" t="n"/>
    </row>
    <row r="123" ht="14" customHeight="1">
      <c r="L123" s="506" t="n"/>
      <c r="M123" s="506" t="n"/>
      <c r="N123" s="506" t="n"/>
      <c r="O123" s="506" t="n"/>
      <c r="P123" s="506" t="n"/>
      <c r="Q123" s="506" t="n"/>
      <c r="R123" s="506" t="n"/>
      <c r="S123" s="506" t="n"/>
      <c r="T123" s="506" t="n"/>
      <c r="U123" s="506" t="n"/>
      <c r="V123" s="506" t="n"/>
      <c r="W123" s="506" t="n"/>
      <c r="X123" s="506" t="n"/>
      <c r="Y123" s="506" t="n"/>
      <c r="Z123" s="506" t="n"/>
      <c r="AA123" s="506" t="n"/>
    </row>
    <row r="124" ht="14" customHeight="1">
      <c r="L124" s="506" t="n"/>
      <c r="M124" s="506" t="n"/>
      <c r="N124" s="506" t="n"/>
      <c r="O124" s="506" t="n"/>
      <c r="P124" s="506" t="n"/>
      <c r="Q124" s="506" t="n"/>
      <c r="R124" s="506" t="n"/>
      <c r="S124" s="506" t="n"/>
      <c r="T124" s="506" t="n"/>
      <c r="U124" s="506" t="n"/>
      <c r="V124" s="506" t="n"/>
      <c r="W124" s="506" t="n"/>
      <c r="X124" s="506" t="n"/>
      <c r="Y124" s="506" t="n"/>
      <c r="Z124" s="506" t="n"/>
      <c r="AA124" s="506" t="n"/>
    </row>
    <row r="125" ht="14" customHeight="1">
      <c r="L125" s="506" t="n"/>
      <c r="M125" s="506" t="n"/>
      <c r="N125" s="506" t="n"/>
      <c r="O125" s="506" t="n"/>
      <c r="P125" s="506" t="n"/>
      <c r="Q125" s="506" t="n"/>
      <c r="R125" s="506" t="n"/>
      <c r="S125" s="506" t="n"/>
      <c r="T125" s="506" t="n"/>
      <c r="U125" s="506" t="n"/>
      <c r="V125" s="506" t="n"/>
      <c r="W125" s="506" t="n"/>
      <c r="X125" s="506" t="n"/>
      <c r="Y125" s="506" t="n"/>
      <c r="Z125" s="506" t="n"/>
      <c r="AA125" s="506" t="n"/>
    </row>
    <row r="126" ht="14" customHeight="1">
      <c r="L126" s="506" t="n"/>
      <c r="M126" s="506" t="n"/>
      <c r="N126" s="506" t="n"/>
      <c r="O126" s="506" t="n"/>
      <c r="P126" s="506" t="n"/>
      <c r="Q126" s="506" t="n"/>
      <c r="R126" s="506" t="n"/>
      <c r="S126" s="506" t="n"/>
      <c r="T126" s="506" t="n"/>
      <c r="U126" s="506" t="n"/>
      <c r="V126" s="506" t="n"/>
      <c r="W126" s="506" t="n"/>
      <c r="X126" s="506" t="n"/>
      <c r="Y126" s="506" t="n"/>
      <c r="Z126" s="506" t="n"/>
      <c r="AA126" s="506" t="n"/>
    </row>
    <row r="127" ht="14" customHeight="1">
      <c r="L127" s="506" t="n"/>
      <c r="M127" s="506" t="n"/>
      <c r="N127" s="506" t="n"/>
      <c r="O127" s="506" t="n"/>
      <c r="P127" s="506" t="n"/>
      <c r="Q127" s="506" t="n"/>
      <c r="R127" s="506" t="n"/>
      <c r="S127" s="506" t="n"/>
      <c r="T127" s="506" t="n"/>
      <c r="U127" s="506" t="n"/>
      <c r="V127" s="506" t="n"/>
      <c r="W127" s="506" t="n"/>
      <c r="X127" s="506" t="n"/>
      <c r="Y127" s="506" t="n"/>
      <c r="Z127" s="506" t="n"/>
      <c r="AA127" s="506" t="n"/>
    </row>
    <row r="128" ht="14" customHeight="1">
      <c r="L128" s="506" t="n"/>
      <c r="M128" s="506" t="n"/>
      <c r="N128" s="506" t="n"/>
      <c r="O128" s="506" t="n"/>
      <c r="P128" s="506" t="n"/>
      <c r="Q128" s="506" t="n"/>
      <c r="R128" s="506" t="n"/>
      <c r="S128" s="506" t="n"/>
      <c r="T128" s="506" t="n"/>
      <c r="U128" s="506" t="n"/>
      <c r="V128" s="506" t="n"/>
      <c r="W128" s="506" t="n"/>
      <c r="X128" s="506" t="n"/>
      <c r="Y128" s="506" t="n"/>
      <c r="Z128" s="506" t="n"/>
      <c r="AA128" s="506" t="n"/>
    </row>
    <row r="129" ht="14" customHeight="1">
      <c r="L129" s="506" t="n"/>
      <c r="M129" s="506" t="n"/>
      <c r="N129" s="506" t="n"/>
      <c r="O129" s="506" t="n"/>
      <c r="P129" s="506" t="n"/>
      <c r="Q129" s="506" t="n"/>
      <c r="R129" s="506" t="n"/>
      <c r="S129" s="506" t="n"/>
      <c r="T129" s="506" t="n"/>
      <c r="U129" s="506" t="n"/>
      <c r="V129" s="506" t="n"/>
      <c r="W129" s="506" t="n"/>
      <c r="X129" s="506" t="n"/>
      <c r="Y129" s="506" t="n"/>
      <c r="Z129" s="506" t="n"/>
      <c r="AA129" s="506" t="n"/>
    </row>
    <row r="130" ht="14" customHeight="1">
      <c r="L130" s="506" t="n"/>
      <c r="M130" s="506" t="n"/>
      <c r="N130" s="506" t="n"/>
      <c r="O130" s="506" t="n"/>
      <c r="P130" s="506" t="n"/>
      <c r="Q130" s="506" t="n"/>
      <c r="R130" s="506" t="n"/>
      <c r="S130" s="506" t="n"/>
      <c r="T130" s="506" t="n"/>
      <c r="U130" s="506" t="n"/>
      <c r="V130" s="506" t="n"/>
      <c r="W130" s="506" t="n"/>
      <c r="X130" s="506" t="n"/>
      <c r="Y130" s="506" t="n"/>
      <c r="Z130" s="506" t="n"/>
      <c r="AA130" s="506" t="n"/>
    </row>
    <row r="131" ht="14" customHeight="1">
      <c r="D131" s="448" t="n"/>
      <c r="L131" s="506" t="n"/>
      <c r="M131" s="506" t="n"/>
      <c r="N131" s="506" t="n"/>
      <c r="O131" s="506" t="n"/>
      <c r="P131" s="506" t="n"/>
      <c r="Q131" s="506" t="n"/>
      <c r="R131" s="506" t="n"/>
      <c r="S131" s="506" t="n"/>
      <c r="T131" s="506" t="n"/>
      <c r="U131" s="506" t="n"/>
      <c r="V131" s="506" t="n"/>
      <c r="W131" s="506" t="n"/>
      <c r="X131" s="506" t="n"/>
      <c r="Y131" s="506" t="n"/>
      <c r="Z131" s="506" t="n"/>
      <c r="AA131" s="506" t="n"/>
    </row>
    <row r="132" ht="14" customHeight="1">
      <c r="D132" s="448" t="n"/>
      <c r="L132" s="506" t="n"/>
      <c r="M132" s="506" t="n"/>
      <c r="N132" s="506" t="n"/>
      <c r="O132" s="506" t="n"/>
      <c r="P132" s="506" t="n"/>
      <c r="Q132" s="506" t="n"/>
      <c r="R132" s="506" t="n"/>
      <c r="S132" s="506" t="n"/>
      <c r="T132" s="506" t="n"/>
      <c r="U132" s="506" t="n"/>
      <c r="V132" s="506" t="n"/>
      <c r="W132" s="506" t="n"/>
      <c r="X132" s="506" t="n"/>
      <c r="Y132" s="506" t="n"/>
      <c r="Z132" s="506" t="n"/>
      <c r="AA132" s="506" t="n"/>
    </row>
    <row r="133" ht="14" customHeight="1">
      <c r="L133" s="506" t="n"/>
      <c r="M133" s="506" t="n"/>
      <c r="N133" s="506" t="n"/>
      <c r="O133" s="506" t="n"/>
      <c r="P133" s="506" t="n"/>
      <c r="Q133" s="506" t="n"/>
      <c r="R133" s="506" t="n"/>
      <c r="S133" s="506" t="n"/>
      <c r="T133" s="506" t="n"/>
      <c r="U133" s="506" t="n"/>
      <c r="V133" s="506" t="n"/>
      <c r="W133" s="506" t="n"/>
      <c r="X133" s="506" t="n"/>
      <c r="Y133" s="506" t="n"/>
      <c r="Z133" s="506" t="n"/>
      <c r="AA133" s="506" t="n"/>
    </row>
    <row r="134" ht="14" customHeight="1">
      <c r="L134" s="506" t="n"/>
      <c r="M134" s="506" t="n"/>
      <c r="N134" s="506" t="n"/>
      <c r="O134" s="506" t="n"/>
      <c r="P134" s="506" t="n"/>
      <c r="Q134" s="506" t="n"/>
      <c r="R134" s="506" t="n"/>
      <c r="S134" s="506" t="n"/>
      <c r="T134" s="506" t="n"/>
      <c r="U134" s="506" t="n"/>
      <c r="V134" s="506" t="n"/>
      <c r="W134" s="506" t="n"/>
      <c r="X134" s="506" t="n"/>
      <c r="Y134" s="506" t="n"/>
      <c r="Z134" s="506" t="n"/>
      <c r="AA134" s="506" t="n"/>
    </row>
    <row r="135" ht="14" customHeight="1">
      <c r="L135" s="506" t="n"/>
      <c r="M135" s="506" t="n"/>
      <c r="N135" s="506" t="n"/>
      <c r="O135" s="506" t="n"/>
      <c r="P135" s="506" t="n"/>
      <c r="Q135" s="506" t="n"/>
      <c r="R135" s="506" t="n"/>
      <c r="S135" s="506" t="n"/>
      <c r="T135" s="506" t="n"/>
      <c r="U135" s="506" t="n"/>
      <c r="V135" s="506" t="n"/>
      <c r="W135" s="506" t="n"/>
      <c r="X135" s="506" t="n"/>
      <c r="Y135" s="506" t="n"/>
      <c r="Z135" s="506" t="n"/>
      <c r="AA135" s="506" t="n"/>
    </row>
    <row r="136" ht="14" customHeight="1">
      <c r="L136" s="506" t="n"/>
      <c r="M136" s="506" t="n"/>
      <c r="N136" s="506" t="n"/>
      <c r="O136" s="506" t="n"/>
      <c r="P136" s="506" t="n"/>
      <c r="Q136" s="506" t="n"/>
      <c r="R136" s="506" t="n"/>
      <c r="S136" s="506" t="n"/>
      <c r="T136" s="506" t="n"/>
      <c r="U136" s="506" t="n"/>
      <c r="V136" s="506" t="n"/>
      <c r="W136" s="506" t="n"/>
      <c r="X136" s="506" t="n"/>
      <c r="Y136" s="506" t="n"/>
      <c r="Z136" s="506" t="n"/>
      <c r="AA136" s="506" t="n"/>
    </row>
    <row r="137" ht="14" customHeight="1">
      <c r="L137" s="506" t="n"/>
      <c r="M137" s="506" t="n"/>
      <c r="N137" s="506" t="n"/>
      <c r="O137" s="506" t="n"/>
      <c r="P137" s="506" t="n"/>
      <c r="Q137" s="506" t="n"/>
      <c r="R137" s="506" t="n"/>
      <c r="S137" s="506" t="n"/>
      <c r="T137" s="506" t="n"/>
      <c r="U137" s="506" t="n"/>
      <c r="V137" s="506" t="n"/>
      <c r="W137" s="506" t="n"/>
      <c r="X137" s="506" t="n"/>
      <c r="Y137" s="506" t="n"/>
      <c r="Z137" s="506" t="n"/>
      <c r="AA137" s="506" t="n"/>
    </row>
    <row r="138" ht="14" customHeight="1">
      <c r="L138" s="506" t="n"/>
      <c r="M138" s="506" t="n"/>
      <c r="N138" s="506" t="n"/>
      <c r="O138" s="506" t="n"/>
      <c r="P138" s="506" t="n"/>
      <c r="Q138" s="506" t="n"/>
      <c r="R138" s="506" t="n"/>
      <c r="S138" s="506" t="n"/>
      <c r="T138" s="506" t="n"/>
      <c r="U138" s="506" t="n"/>
      <c r="V138" s="506" t="n"/>
      <c r="W138" s="506" t="n"/>
      <c r="X138" s="506" t="n"/>
      <c r="Y138" s="506" t="n"/>
      <c r="Z138" s="506" t="n"/>
      <c r="AA138" s="506" t="n"/>
    </row>
    <row r="139" ht="14" customHeight="1">
      <c r="L139" s="506" t="n"/>
      <c r="M139" s="506" t="n"/>
      <c r="N139" s="506" t="n"/>
      <c r="O139" s="506" t="n"/>
      <c r="P139" s="506" t="n"/>
      <c r="Q139" s="506" t="n"/>
      <c r="R139" s="506" t="n"/>
      <c r="S139" s="506" t="n"/>
      <c r="T139" s="506" t="n"/>
      <c r="U139" s="506" t="n"/>
      <c r="V139" s="506" t="n"/>
      <c r="W139" s="506" t="n"/>
      <c r="X139" s="506" t="n"/>
      <c r="Y139" s="506" t="n"/>
      <c r="Z139" s="506" t="n"/>
      <c r="AA139" s="506" t="n"/>
    </row>
    <row r="140" ht="14" customHeight="1">
      <c r="L140" s="506" t="n"/>
      <c r="M140" s="506" t="n"/>
      <c r="N140" s="506" t="n"/>
      <c r="O140" s="506" t="n"/>
      <c r="P140" s="506" t="n"/>
      <c r="Q140" s="506" t="n"/>
      <c r="R140" s="506" t="n"/>
      <c r="S140" s="506" t="n"/>
      <c r="T140" s="506" t="n"/>
      <c r="U140" s="506" t="n"/>
      <c r="V140" s="506" t="n"/>
      <c r="W140" s="506" t="n"/>
      <c r="X140" s="506" t="n"/>
      <c r="Y140" s="506" t="n"/>
      <c r="Z140" s="506" t="n"/>
      <c r="AA140" s="506" t="n"/>
    </row>
    <row r="141" ht="14" customHeight="1">
      <c r="L141" s="506" t="n"/>
      <c r="M141" s="506" t="n"/>
      <c r="N141" s="506" t="n"/>
      <c r="O141" s="506" t="n"/>
      <c r="P141" s="506" t="n"/>
      <c r="Q141" s="506" t="n"/>
      <c r="R141" s="506" t="n"/>
      <c r="S141" s="506" t="n"/>
      <c r="T141" s="506" t="n"/>
      <c r="U141" s="506" t="n"/>
      <c r="V141" s="506" t="n"/>
      <c r="W141" s="506" t="n"/>
      <c r="X141" s="506" t="n"/>
      <c r="Y141" s="506" t="n"/>
      <c r="Z141" s="506" t="n"/>
      <c r="AA141" s="506" t="n"/>
    </row>
    <row r="142" ht="14" customHeight="1">
      <c r="L142" s="506" t="n"/>
      <c r="M142" s="506" t="n"/>
      <c r="N142" s="506" t="n"/>
      <c r="O142" s="506" t="n"/>
      <c r="P142" s="506" t="n"/>
      <c r="Q142" s="506" t="n"/>
      <c r="R142" s="506" t="n"/>
      <c r="S142" s="506" t="n"/>
      <c r="T142" s="506" t="n"/>
      <c r="U142" s="506" t="n"/>
      <c r="V142" s="506" t="n"/>
      <c r="W142" s="506" t="n"/>
      <c r="X142" s="506" t="n"/>
      <c r="Y142" s="506" t="n"/>
      <c r="Z142" s="506" t="n"/>
      <c r="AA142" s="506" t="n"/>
    </row>
    <row r="143" ht="14" customHeight="1">
      <c r="D143" s="431" t="n"/>
      <c r="L143" s="506" t="n"/>
      <c r="M143" s="506" t="n"/>
      <c r="N143" s="506" t="n"/>
      <c r="O143" s="506" t="n"/>
      <c r="P143" s="506" t="n"/>
      <c r="Q143" s="506" t="n"/>
      <c r="R143" s="506" t="n"/>
      <c r="S143" s="506" t="n"/>
      <c r="T143" s="506" t="n"/>
      <c r="U143" s="506" t="n"/>
      <c r="V143" s="506" t="n"/>
      <c r="W143" s="506" t="n"/>
      <c r="X143" s="506" t="n"/>
      <c r="Y143" s="506" t="n"/>
      <c r="Z143" s="506" t="n"/>
      <c r="AA143" s="506" t="n"/>
    </row>
    <row r="144" ht="14" customHeight="1">
      <c r="D144" s="448" t="n"/>
      <c r="L144" s="506" t="n"/>
      <c r="M144" s="506" t="n"/>
      <c r="N144" s="506" t="n"/>
      <c r="O144" s="506" t="n"/>
      <c r="P144" s="506" t="n"/>
      <c r="Q144" s="506" t="n"/>
      <c r="R144" s="506" t="n"/>
      <c r="S144" s="506" t="n"/>
      <c r="T144" s="506" t="n"/>
      <c r="U144" s="506" t="n"/>
      <c r="V144" s="506" t="n"/>
      <c r="W144" s="506" t="n"/>
      <c r="X144" s="506" t="n"/>
      <c r="Y144" s="506" t="n"/>
      <c r="Z144" s="506" t="n"/>
      <c r="AA144" s="506" t="n"/>
    </row>
    <row r="145" ht="14" customHeight="1">
      <c r="D145" s="448" t="n"/>
      <c r="L145" s="506" t="n"/>
      <c r="M145" s="506" t="n"/>
      <c r="N145" s="506" t="n"/>
      <c r="O145" s="506" t="n"/>
      <c r="P145" s="506" t="n"/>
      <c r="Q145" s="506" t="n"/>
      <c r="R145" s="506" t="n"/>
      <c r="S145" s="506" t="n"/>
      <c r="T145" s="506" t="n"/>
      <c r="U145" s="506" t="n"/>
      <c r="V145" s="506" t="n"/>
      <c r="W145" s="506" t="n"/>
      <c r="X145" s="506" t="n"/>
      <c r="Y145" s="506" t="n"/>
      <c r="Z145" s="506" t="n"/>
      <c r="AA145" s="506" t="n"/>
    </row>
    <row r="146" ht="14" customHeight="1">
      <c r="L146" s="506" t="n"/>
      <c r="M146" s="506" t="n"/>
      <c r="N146" s="506" t="n"/>
      <c r="O146" s="506" t="n"/>
      <c r="P146" s="506" t="n"/>
      <c r="Q146" s="506" t="n"/>
      <c r="R146" s="506" t="n"/>
      <c r="S146" s="506" t="n"/>
      <c r="T146" s="506" t="n"/>
      <c r="U146" s="506" t="n"/>
      <c r="V146" s="506" t="n"/>
      <c r="W146" s="506" t="n"/>
      <c r="X146" s="506" t="n"/>
      <c r="Y146" s="506" t="n"/>
      <c r="Z146" s="506" t="n"/>
      <c r="AA146" s="506" t="n"/>
    </row>
    <row r="147" ht="14" customHeight="1">
      <c r="L147" s="506" t="n"/>
      <c r="M147" s="506" t="n"/>
      <c r="N147" s="506" t="n"/>
      <c r="O147" s="506" t="n"/>
      <c r="P147" s="506" t="n"/>
      <c r="Q147" s="506" t="n"/>
      <c r="R147" s="506" t="n"/>
      <c r="S147" s="506" t="n"/>
      <c r="T147" s="506" t="n"/>
      <c r="U147" s="506" t="n"/>
      <c r="V147" s="506" t="n"/>
      <c r="W147" s="506" t="n"/>
      <c r="X147" s="506" t="n"/>
      <c r="Y147" s="506" t="n"/>
      <c r="Z147" s="506" t="n"/>
      <c r="AA147" s="506" t="n"/>
    </row>
    <row r="148" ht="14" customHeight="1">
      <c r="L148" s="506" t="n"/>
      <c r="M148" s="506" t="n"/>
      <c r="N148" s="506" t="n"/>
      <c r="O148" s="506" t="n"/>
      <c r="P148" s="506" t="n"/>
      <c r="Q148" s="506" t="n"/>
      <c r="R148" s="506" t="n"/>
      <c r="S148" s="506" t="n"/>
      <c r="T148" s="506" t="n"/>
      <c r="U148" s="506" t="n"/>
      <c r="V148" s="506" t="n"/>
      <c r="W148" s="506" t="n"/>
      <c r="X148" s="506" t="n"/>
      <c r="Y148" s="506" t="n"/>
      <c r="Z148" s="506" t="n"/>
      <c r="AA148" s="506" t="n"/>
    </row>
    <row r="149" ht="14" customHeight="1">
      <c r="L149" s="506" t="n"/>
      <c r="M149" s="506" t="n"/>
      <c r="N149" s="506" t="n"/>
      <c r="O149" s="506" t="n"/>
      <c r="P149" s="506" t="n"/>
      <c r="Q149" s="506" t="n"/>
      <c r="R149" s="506" t="n"/>
      <c r="S149" s="506" t="n"/>
      <c r="T149" s="506" t="n"/>
      <c r="U149" s="506" t="n"/>
      <c r="V149" s="506" t="n"/>
      <c r="W149" s="506" t="n"/>
      <c r="X149" s="506" t="n"/>
      <c r="Y149" s="506" t="n"/>
      <c r="Z149" s="506" t="n"/>
      <c r="AA149" s="506" t="n"/>
    </row>
    <row r="150" ht="14" customHeight="1">
      <c r="L150" s="506" t="n"/>
      <c r="M150" s="506" t="n"/>
      <c r="N150" s="506" t="n"/>
      <c r="O150" s="506" t="n"/>
      <c r="P150" s="506" t="n"/>
      <c r="Q150" s="506" t="n"/>
      <c r="R150" s="506" t="n"/>
      <c r="S150" s="506" t="n"/>
      <c r="T150" s="506" t="n"/>
      <c r="U150" s="506" t="n"/>
      <c r="V150" s="506" t="n"/>
      <c r="W150" s="506" t="n"/>
      <c r="X150" s="506" t="n"/>
      <c r="Y150" s="506" t="n"/>
      <c r="Z150" s="506" t="n"/>
      <c r="AA150" s="506" t="n"/>
    </row>
    <row r="157" ht="13" customHeight="1">
      <c r="D157" s="448" t="n"/>
    </row>
    <row r="158" ht="13" customHeight="1">
      <c r="D158" s="448" t="n"/>
    </row>
  </sheetData>
  <hyperlinks>
    <hyperlink ref="AA1" r:id="rId1"/>
    <hyperlink ref="AA4" r:id="rId2"/>
  </hyperlinks>
  <pageMargins left="0.7" right="0.7" top="0.75" bottom="0.75" header="0.3" footer="0.3"/>
</worksheet>
</file>

<file path=xl/worksheets/sheet24.xml><?xml version="1.0" encoding="utf-8"?>
<worksheet xmlns="http://schemas.openxmlformats.org/spreadsheetml/2006/main">
  <sheetPr>
    <outlinePr summaryBelow="1" summaryRight="1"/>
    <pageSetUpPr/>
  </sheetPr>
  <dimension ref="A1:B5"/>
  <sheetViews>
    <sheetView workbookViewId="0">
      <selection activeCell="A1" sqref="A1"/>
    </sheetView>
  </sheetViews>
  <sheetFormatPr baseColWidth="8" defaultRowHeight="15"/>
  <cols>
    <col width="16" customWidth="1" min="1" max="1"/>
    <col width="100" customWidth="1" min="2" max="2"/>
  </cols>
  <sheetData>
    <row r="1">
      <c r="A1" t="inlineStr">
        <is>
          <t>Initial Filters</t>
        </is>
      </c>
      <c r="B1" t="inlineStr">
        <is>
          <t>{'job': '23B020'}</t>
        </is>
      </c>
    </row>
    <row r="2">
      <c r="A2" t="inlineStr">
        <is>
          <t>Front end filters</t>
        </is>
      </c>
      <c r="B2" t="inlineStr"/>
    </row>
    <row r="3">
      <c r="A3" t="inlineStr">
        <is>
          <t>Username</t>
        </is>
      </c>
      <c r="B3" t="inlineStr">
        <is>
          <t>sschindler</t>
        </is>
      </c>
    </row>
    <row r="4">
      <c r="A4" t="inlineStr">
        <is>
          <t>Buildings</t>
        </is>
      </c>
      <c r="B4" t="inlineStr">
        <is>
          <t>B1B2</t>
        </is>
      </c>
    </row>
    <row r="5">
      <c r="A5" t="inlineStr">
        <is>
          <t>Report Name</t>
        </is>
      </c>
      <c r="B5" t="inlineStr">
        <is>
          <t>Informant</t>
        </is>
      </c>
    </row>
  </sheetData>
  <pageMargins left="0.75" right="0.75" top="1" bottom="1" header="0.5" footer="0.5"/>
</worksheet>
</file>

<file path=xl/worksheets/sheet3.xml><?xml version="1.0" encoding="utf-8"?>
<worksheet xmlns="http://schemas.openxmlformats.org/spreadsheetml/2006/main">
  <sheetPr codeName="Sheet17">
    <outlinePr summaryBelow="1" summaryRight="1"/>
    <pageSetUpPr fitToPage="1"/>
  </sheetPr>
  <dimension ref="A1:CD41"/>
  <sheetViews>
    <sheetView showGridLines="0" view="pageBreakPreview" zoomScaleNormal="100" zoomScaleSheetLayoutView="100" workbookViewId="0">
      <selection activeCell="D35" sqref="D35"/>
    </sheetView>
  </sheetViews>
  <sheetFormatPr baseColWidth="8" defaultRowHeight="12.5"/>
  <cols>
    <col width="21.453125" customWidth="1" style="662" min="1" max="1"/>
    <col width="22.7265625" customWidth="1" style="662" min="2" max="2"/>
    <col width="2.453125" customWidth="1" style="662" min="3" max="3"/>
    <col width="13.7265625" customWidth="1" style="662" min="4" max="4"/>
    <col width="7.26953125" customWidth="1" style="662" min="5" max="5"/>
    <col width="6.7265625" customWidth="1" style="662" min="6" max="6"/>
    <col width="7.26953125" customWidth="1" style="662" min="7" max="8"/>
    <col width="9.1796875" customWidth="1" style="662" min="9" max="9"/>
    <col width="29.26953125" customWidth="1" style="662" min="10" max="10"/>
    <col width="34.7265625" customWidth="1" style="662" min="11" max="11"/>
    <col width="9.1796875" customWidth="1" style="662" min="12" max="256"/>
    <col width="21.453125" customWidth="1" style="662" min="257" max="257"/>
    <col width="22.7265625" customWidth="1" style="662" min="258" max="258"/>
    <col width="2.453125" customWidth="1" style="662" min="259" max="259"/>
    <col width="13.7265625" customWidth="1" style="662" min="260" max="260"/>
    <col width="7.26953125" customWidth="1" style="662" min="261" max="261"/>
    <col width="6.7265625" customWidth="1" style="662" min="262" max="262"/>
    <col width="7.26953125" customWidth="1" style="662" min="263" max="264"/>
    <col width="9.1796875" customWidth="1" style="662" min="265" max="265"/>
    <col width="29.26953125" customWidth="1" style="662" min="266" max="266"/>
    <col width="34.7265625" customWidth="1" style="662" min="267" max="267"/>
    <col width="9.1796875" customWidth="1" style="662" min="268" max="512"/>
    <col width="21.453125" customWidth="1" style="662" min="513" max="513"/>
    <col width="22.7265625" customWidth="1" style="662" min="514" max="514"/>
    <col width="2.453125" customWidth="1" style="662" min="515" max="515"/>
    <col width="13.7265625" customWidth="1" style="662" min="516" max="516"/>
    <col width="7.26953125" customWidth="1" style="662" min="517" max="517"/>
    <col width="6.7265625" customWidth="1" style="662" min="518" max="518"/>
    <col width="7.26953125" customWidth="1" style="662" min="519" max="520"/>
    <col width="9.1796875" customWidth="1" style="662" min="521" max="521"/>
    <col width="29.26953125" customWidth="1" style="662" min="522" max="522"/>
    <col width="34.7265625" customWidth="1" style="662" min="523" max="523"/>
    <col width="9.1796875" customWidth="1" style="662" min="524" max="768"/>
    <col width="21.453125" customWidth="1" style="662" min="769" max="769"/>
    <col width="22.7265625" customWidth="1" style="662" min="770" max="770"/>
    <col width="2.453125" customWidth="1" style="662" min="771" max="771"/>
    <col width="13.7265625" customWidth="1" style="662" min="772" max="772"/>
    <col width="7.26953125" customWidth="1" style="662" min="773" max="773"/>
    <col width="6.7265625" customWidth="1" style="662" min="774" max="774"/>
    <col width="7.26953125" customWidth="1" style="662" min="775" max="776"/>
    <col width="9.1796875" customWidth="1" style="662" min="777" max="777"/>
    <col width="29.26953125" customWidth="1" style="662" min="778" max="778"/>
    <col width="34.7265625" customWidth="1" style="662" min="779" max="779"/>
    <col width="9.1796875" customWidth="1" style="662" min="780" max="1024"/>
    <col width="21.453125" customWidth="1" style="662" min="1025" max="1025"/>
    <col width="22.7265625" customWidth="1" style="662" min="1026" max="1026"/>
    <col width="2.453125" customWidth="1" style="662" min="1027" max="1027"/>
    <col width="13.7265625" customWidth="1" style="662" min="1028" max="1028"/>
    <col width="7.26953125" customWidth="1" style="662" min="1029" max="1029"/>
    <col width="6.7265625" customWidth="1" style="662" min="1030" max="1030"/>
    <col width="7.26953125" customWidth="1" style="662" min="1031" max="1032"/>
    <col width="9.1796875" customWidth="1" style="662" min="1033" max="1033"/>
    <col width="29.26953125" customWidth="1" style="662" min="1034" max="1034"/>
    <col width="34.7265625" customWidth="1" style="662" min="1035" max="1035"/>
    <col width="9.1796875" customWidth="1" style="662" min="1036" max="1280"/>
    <col width="21.453125" customWidth="1" style="662" min="1281" max="1281"/>
    <col width="22.7265625" customWidth="1" style="662" min="1282" max="1282"/>
    <col width="2.453125" customWidth="1" style="662" min="1283" max="1283"/>
    <col width="13.7265625" customWidth="1" style="662" min="1284" max="1284"/>
    <col width="7.26953125" customWidth="1" style="662" min="1285" max="1285"/>
    <col width="6.7265625" customWidth="1" style="662" min="1286" max="1286"/>
    <col width="7.26953125" customWidth="1" style="662" min="1287" max="1288"/>
    <col width="9.1796875" customWidth="1" style="662" min="1289" max="1289"/>
    <col width="29.26953125" customWidth="1" style="662" min="1290" max="1290"/>
    <col width="34.7265625" customWidth="1" style="662" min="1291" max="1291"/>
    <col width="9.1796875" customWidth="1" style="662" min="1292" max="1536"/>
    <col width="21.453125" customWidth="1" style="662" min="1537" max="1537"/>
    <col width="22.7265625" customWidth="1" style="662" min="1538" max="1538"/>
    <col width="2.453125" customWidth="1" style="662" min="1539" max="1539"/>
    <col width="13.7265625" customWidth="1" style="662" min="1540" max="1540"/>
    <col width="7.26953125" customWidth="1" style="662" min="1541" max="1541"/>
    <col width="6.7265625" customWidth="1" style="662" min="1542" max="1542"/>
    <col width="7.26953125" customWidth="1" style="662" min="1543" max="1544"/>
    <col width="9.1796875" customWidth="1" style="662" min="1545" max="1545"/>
    <col width="29.26953125" customWidth="1" style="662" min="1546" max="1546"/>
    <col width="34.7265625" customWidth="1" style="662" min="1547" max="1547"/>
    <col width="9.1796875" customWidth="1" style="662" min="1548" max="1792"/>
    <col width="21.453125" customWidth="1" style="662" min="1793" max="1793"/>
    <col width="22.7265625" customWidth="1" style="662" min="1794" max="1794"/>
    <col width="2.453125" customWidth="1" style="662" min="1795" max="1795"/>
    <col width="13.7265625" customWidth="1" style="662" min="1796" max="1796"/>
    <col width="7.26953125" customWidth="1" style="662" min="1797" max="1797"/>
    <col width="6.7265625" customWidth="1" style="662" min="1798" max="1798"/>
    <col width="7.26953125" customWidth="1" style="662" min="1799" max="1800"/>
    <col width="9.1796875" customWidth="1" style="662" min="1801" max="1801"/>
    <col width="29.26953125" customWidth="1" style="662" min="1802" max="1802"/>
    <col width="34.7265625" customWidth="1" style="662" min="1803" max="1803"/>
    <col width="9.1796875" customWidth="1" style="662" min="1804" max="2048"/>
    <col width="21.453125" customWidth="1" style="662" min="2049" max="2049"/>
    <col width="22.7265625" customWidth="1" style="662" min="2050" max="2050"/>
    <col width="2.453125" customWidth="1" style="662" min="2051" max="2051"/>
    <col width="13.7265625" customWidth="1" style="662" min="2052" max="2052"/>
    <col width="7.26953125" customWidth="1" style="662" min="2053" max="2053"/>
    <col width="6.7265625" customWidth="1" style="662" min="2054" max="2054"/>
    <col width="7.26953125" customWidth="1" style="662" min="2055" max="2056"/>
    <col width="9.1796875" customWidth="1" style="662" min="2057" max="2057"/>
    <col width="29.26953125" customWidth="1" style="662" min="2058" max="2058"/>
    <col width="34.7265625" customWidth="1" style="662" min="2059" max="2059"/>
    <col width="9.1796875" customWidth="1" style="662" min="2060" max="2304"/>
    <col width="21.453125" customWidth="1" style="662" min="2305" max="2305"/>
    <col width="22.7265625" customWidth="1" style="662" min="2306" max="2306"/>
    <col width="2.453125" customWidth="1" style="662" min="2307" max="2307"/>
    <col width="13.7265625" customWidth="1" style="662" min="2308" max="2308"/>
    <col width="7.26953125" customWidth="1" style="662" min="2309" max="2309"/>
    <col width="6.7265625" customWidth="1" style="662" min="2310" max="2310"/>
    <col width="7.26953125" customWidth="1" style="662" min="2311" max="2312"/>
    <col width="9.1796875" customWidth="1" style="662" min="2313" max="2313"/>
    <col width="29.26953125" customWidth="1" style="662" min="2314" max="2314"/>
    <col width="34.7265625" customWidth="1" style="662" min="2315" max="2315"/>
    <col width="9.1796875" customWidth="1" style="662" min="2316" max="2560"/>
    <col width="21.453125" customWidth="1" style="662" min="2561" max="2561"/>
    <col width="22.7265625" customWidth="1" style="662" min="2562" max="2562"/>
    <col width="2.453125" customWidth="1" style="662" min="2563" max="2563"/>
    <col width="13.7265625" customWidth="1" style="662" min="2564" max="2564"/>
    <col width="7.26953125" customWidth="1" style="662" min="2565" max="2565"/>
    <col width="6.7265625" customWidth="1" style="662" min="2566" max="2566"/>
    <col width="7.26953125" customWidth="1" style="662" min="2567" max="2568"/>
    <col width="9.1796875" customWidth="1" style="662" min="2569" max="2569"/>
    <col width="29.26953125" customWidth="1" style="662" min="2570" max="2570"/>
    <col width="34.7265625" customWidth="1" style="662" min="2571" max="2571"/>
    <col width="9.1796875" customWidth="1" style="662" min="2572" max="2816"/>
    <col width="21.453125" customWidth="1" style="662" min="2817" max="2817"/>
    <col width="22.7265625" customWidth="1" style="662" min="2818" max="2818"/>
    <col width="2.453125" customWidth="1" style="662" min="2819" max="2819"/>
    <col width="13.7265625" customWidth="1" style="662" min="2820" max="2820"/>
    <col width="7.26953125" customWidth="1" style="662" min="2821" max="2821"/>
    <col width="6.7265625" customWidth="1" style="662" min="2822" max="2822"/>
    <col width="7.26953125" customWidth="1" style="662" min="2823" max="2824"/>
    <col width="9.1796875" customWidth="1" style="662" min="2825" max="2825"/>
    <col width="29.26953125" customWidth="1" style="662" min="2826" max="2826"/>
    <col width="34.7265625" customWidth="1" style="662" min="2827" max="2827"/>
    <col width="9.1796875" customWidth="1" style="662" min="2828" max="3072"/>
    <col width="21.453125" customWidth="1" style="662" min="3073" max="3073"/>
    <col width="22.7265625" customWidth="1" style="662" min="3074" max="3074"/>
    <col width="2.453125" customWidth="1" style="662" min="3075" max="3075"/>
    <col width="13.7265625" customWidth="1" style="662" min="3076" max="3076"/>
    <col width="7.26953125" customWidth="1" style="662" min="3077" max="3077"/>
    <col width="6.7265625" customWidth="1" style="662" min="3078" max="3078"/>
    <col width="7.26953125" customWidth="1" style="662" min="3079" max="3080"/>
    <col width="9.1796875" customWidth="1" style="662" min="3081" max="3081"/>
    <col width="29.26953125" customWidth="1" style="662" min="3082" max="3082"/>
    <col width="34.7265625" customWidth="1" style="662" min="3083" max="3083"/>
    <col width="9.1796875" customWidth="1" style="662" min="3084" max="3328"/>
    <col width="21.453125" customWidth="1" style="662" min="3329" max="3329"/>
    <col width="22.7265625" customWidth="1" style="662" min="3330" max="3330"/>
    <col width="2.453125" customWidth="1" style="662" min="3331" max="3331"/>
    <col width="13.7265625" customWidth="1" style="662" min="3332" max="3332"/>
    <col width="7.26953125" customWidth="1" style="662" min="3333" max="3333"/>
    <col width="6.7265625" customWidth="1" style="662" min="3334" max="3334"/>
    <col width="7.26953125" customWidth="1" style="662" min="3335" max="3336"/>
    <col width="9.1796875" customWidth="1" style="662" min="3337" max="3337"/>
    <col width="29.26953125" customWidth="1" style="662" min="3338" max="3338"/>
    <col width="34.7265625" customWidth="1" style="662" min="3339" max="3339"/>
    <col width="9.1796875" customWidth="1" style="662" min="3340" max="3584"/>
    <col width="21.453125" customWidth="1" style="662" min="3585" max="3585"/>
    <col width="22.7265625" customWidth="1" style="662" min="3586" max="3586"/>
    <col width="2.453125" customWidth="1" style="662" min="3587" max="3587"/>
    <col width="13.7265625" customWidth="1" style="662" min="3588" max="3588"/>
    <col width="7.26953125" customWidth="1" style="662" min="3589" max="3589"/>
    <col width="6.7265625" customWidth="1" style="662" min="3590" max="3590"/>
    <col width="7.26953125" customWidth="1" style="662" min="3591" max="3592"/>
    <col width="9.1796875" customWidth="1" style="662" min="3593" max="3593"/>
    <col width="29.26953125" customWidth="1" style="662" min="3594" max="3594"/>
    <col width="34.7265625" customWidth="1" style="662" min="3595" max="3595"/>
    <col width="9.1796875" customWidth="1" style="662" min="3596" max="3840"/>
    <col width="21.453125" customWidth="1" style="662" min="3841" max="3841"/>
    <col width="22.7265625" customWidth="1" style="662" min="3842" max="3842"/>
    <col width="2.453125" customWidth="1" style="662" min="3843" max="3843"/>
    <col width="13.7265625" customWidth="1" style="662" min="3844" max="3844"/>
    <col width="7.26953125" customWidth="1" style="662" min="3845" max="3845"/>
    <col width="6.7265625" customWidth="1" style="662" min="3846" max="3846"/>
    <col width="7.26953125" customWidth="1" style="662" min="3847" max="3848"/>
    <col width="9.1796875" customWidth="1" style="662" min="3849" max="3849"/>
    <col width="29.26953125" customWidth="1" style="662" min="3850" max="3850"/>
    <col width="34.7265625" customWidth="1" style="662" min="3851" max="3851"/>
    <col width="9.1796875" customWidth="1" style="662" min="3852" max="4096"/>
    <col width="21.453125" customWidth="1" style="662" min="4097" max="4097"/>
    <col width="22.7265625" customWidth="1" style="662" min="4098" max="4098"/>
    <col width="2.453125" customWidth="1" style="662" min="4099" max="4099"/>
    <col width="13.7265625" customWidth="1" style="662" min="4100" max="4100"/>
    <col width="7.26953125" customWidth="1" style="662" min="4101" max="4101"/>
    <col width="6.7265625" customWidth="1" style="662" min="4102" max="4102"/>
    <col width="7.26953125" customWidth="1" style="662" min="4103" max="4104"/>
    <col width="9.1796875" customWidth="1" style="662" min="4105" max="4105"/>
    <col width="29.26953125" customWidth="1" style="662" min="4106" max="4106"/>
    <col width="34.7265625" customWidth="1" style="662" min="4107" max="4107"/>
    <col width="9.1796875" customWidth="1" style="662" min="4108" max="4352"/>
    <col width="21.453125" customWidth="1" style="662" min="4353" max="4353"/>
    <col width="22.7265625" customWidth="1" style="662" min="4354" max="4354"/>
    <col width="2.453125" customWidth="1" style="662" min="4355" max="4355"/>
    <col width="13.7265625" customWidth="1" style="662" min="4356" max="4356"/>
    <col width="7.26953125" customWidth="1" style="662" min="4357" max="4357"/>
    <col width="6.7265625" customWidth="1" style="662" min="4358" max="4358"/>
    <col width="7.26953125" customWidth="1" style="662" min="4359" max="4360"/>
    <col width="9.1796875" customWidth="1" style="662" min="4361" max="4361"/>
    <col width="29.26953125" customWidth="1" style="662" min="4362" max="4362"/>
    <col width="34.7265625" customWidth="1" style="662" min="4363" max="4363"/>
    <col width="9.1796875" customWidth="1" style="662" min="4364" max="4608"/>
    <col width="21.453125" customWidth="1" style="662" min="4609" max="4609"/>
    <col width="22.7265625" customWidth="1" style="662" min="4610" max="4610"/>
    <col width="2.453125" customWidth="1" style="662" min="4611" max="4611"/>
    <col width="13.7265625" customWidth="1" style="662" min="4612" max="4612"/>
    <col width="7.26953125" customWidth="1" style="662" min="4613" max="4613"/>
    <col width="6.7265625" customWidth="1" style="662" min="4614" max="4614"/>
    <col width="7.26953125" customWidth="1" style="662" min="4615" max="4616"/>
    <col width="9.1796875" customWidth="1" style="662" min="4617" max="4617"/>
    <col width="29.26953125" customWidth="1" style="662" min="4618" max="4618"/>
    <col width="34.7265625" customWidth="1" style="662" min="4619" max="4619"/>
    <col width="9.1796875" customWidth="1" style="662" min="4620" max="4864"/>
    <col width="21.453125" customWidth="1" style="662" min="4865" max="4865"/>
    <col width="22.7265625" customWidth="1" style="662" min="4866" max="4866"/>
    <col width="2.453125" customWidth="1" style="662" min="4867" max="4867"/>
    <col width="13.7265625" customWidth="1" style="662" min="4868" max="4868"/>
    <col width="7.26953125" customWidth="1" style="662" min="4869" max="4869"/>
    <col width="6.7265625" customWidth="1" style="662" min="4870" max="4870"/>
    <col width="7.26953125" customWidth="1" style="662" min="4871" max="4872"/>
    <col width="9.1796875" customWidth="1" style="662" min="4873" max="4873"/>
    <col width="29.26953125" customWidth="1" style="662" min="4874" max="4874"/>
    <col width="34.7265625" customWidth="1" style="662" min="4875" max="4875"/>
    <col width="9.1796875" customWidth="1" style="662" min="4876" max="5120"/>
    <col width="21.453125" customWidth="1" style="662" min="5121" max="5121"/>
    <col width="22.7265625" customWidth="1" style="662" min="5122" max="5122"/>
    <col width="2.453125" customWidth="1" style="662" min="5123" max="5123"/>
    <col width="13.7265625" customWidth="1" style="662" min="5124" max="5124"/>
    <col width="7.26953125" customWidth="1" style="662" min="5125" max="5125"/>
    <col width="6.7265625" customWidth="1" style="662" min="5126" max="5126"/>
    <col width="7.26953125" customWidth="1" style="662" min="5127" max="5128"/>
    <col width="9.1796875" customWidth="1" style="662" min="5129" max="5129"/>
    <col width="29.26953125" customWidth="1" style="662" min="5130" max="5130"/>
    <col width="34.7265625" customWidth="1" style="662" min="5131" max="5131"/>
    <col width="9.1796875" customWidth="1" style="662" min="5132" max="5376"/>
    <col width="21.453125" customWidth="1" style="662" min="5377" max="5377"/>
    <col width="22.7265625" customWidth="1" style="662" min="5378" max="5378"/>
    <col width="2.453125" customWidth="1" style="662" min="5379" max="5379"/>
    <col width="13.7265625" customWidth="1" style="662" min="5380" max="5380"/>
    <col width="7.26953125" customWidth="1" style="662" min="5381" max="5381"/>
    <col width="6.7265625" customWidth="1" style="662" min="5382" max="5382"/>
    <col width="7.26953125" customWidth="1" style="662" min="5383" max="5384"/>
    <col width="9.1796875" customWidth="1" style="662" min="5385" max="5385"/>
    <col width="29.26953125" customWidth="1" style="662" min="5386" max="5386"/>
    <col width="34.7265625" customWidth="1" style="662" min="5387" max="5387"/>
    <col width="9.1796875" customWidth="1" style="662" min="5388" max="5632"/>
    <col width="21.453125" customWidth="1" style="662" min="5633" max="5633"/>
    <col width="22.7265625" customWidth="1" style="662" min="5634" max="5634"/>
    <col width="2.453125" customWidth="1" style="662" min="5635" max="5635"/>
    <col width="13.7265625" customWidth="1" style="662" min="5636" max="5636"/>
    <col width="7.26953125" customWidth="1" style="662" min="5637" max="5637"/>
    <col width="6.7265625" customWidth="1" style="662" min="5638" max="5638"/>
    <col width="7.26953125" customWidth="1" style="662" min="5639" max="5640"/>
    <col width="9.1796875" customWidth="1" style="662" min="5641" max="5641"/>
    <col width="29.26953125" customWidth="1" style="662" min="5642" max="5642"/>
    <col width="34.7265625" customWidth="1" style="662" min="5643" max="5643"/>
    <col width="9.1796875" customWidth="1" style="662" min="5644" max="5888"/>
    <col width="21.453125" customWidth="1" style="662" min="5889" max="5889"/>
    <col width="22.7265625" customWidth="1" style="662" min="5890" max="5890"/>
    <col width="2.453125" customWidth="1" style="662" min="5891" max="5891"/>
    <col width="13.7265625" customWidth="1" style="662" min="5892" max="5892"/>
    <col width="7.26953125" customWidth="1" style="662" min="5893" max="5893"/>
    <col width="6.7265625" customWidth="1" style="662" min="5894" max="5894"/>
    <col width="7.26953125" customWidth="1" style="662" min="5895" max="5896"/>
    <col width="9.1796875" customWidth="1" style="662" min="5897" max="5897"/>
    <col width="29.26953125" customWidth="1" style="662" min="5898" max="5898"/>
    <col width="34.7265625" customWidth="1" style="662" min="5899" max="5899"/>
    <col width="9.1796875" customWidth="1" style="662" min="5900" max="6144"/>
    <col width="21.453125" customWidth="1" style="662" min="6145" max="6145"/>
    <col width="22.7265625" customWidth="1" style="662" min="6146" max="6146"/>
    <col width="2.453125" customWidth="1" style="662" min="6147" max="6147"/>
    <col width="13.7265625" customWidth="1" style="662" min="6148" max="6148"/>
    <col width="7.26953125" customWidth="1" style="662" min="6149" max="6149"/>
    <col width="6.7265625" customWidth="1" style="662" min="6150" max="6150"/>
    <col width="7.26953125" customWidth="1" style="662" min="6151" max="6152"/>
    <col width="9.1796875" customWidth="1" style="662" min="6153" max="6153"/>
    <col width="29.26953125" customWidth="1" style="662" min="6154" max="6154"/>
    <col width="34.7265625" customWidth="1" style="662" min="6155" max="6155"/>
    <col width="9.1796875" customWidth="1" style="662" min="6156" max="6400"/>
    <col width="21.453125" customWidth="1" style="662" min="6401" max="6401"/>
    <col width="22.7265625" customWidth="1" style="662" min="6402" max="6402"/>
    <col width="2.453125" customWidth="1" style="662" min="6403" max="6403"/>
    <col width="13.7265625" customWidth="1" style="662" min="6404" max="6404"/>
    <col width="7.26953125" customWidth="1" style="662" min="6405" max="6405"/>
    <col width="6.7265625" customWidth="1" style="662" min="6406" max="6406"/>
    <col width="7.26953125" customWidth="1" style="662" min="6407" max="6408"/>
    <col width="9.1796875" customWidth="1" style="662" min="6409" max="6409"/>
    <col width="29.26953125" customWidth="1" style="662" min="6410" max="6410"/>
    <col width="34.7265625" customWidth="1" style="662" min="6411" max="6411"/>
    <col width="9.1796875" customWidth="1" style="662" min="6412" max="6656"/>
    <col width="21.453125" customWidth="1" style="662" min="6657" max="6657"/>
    <col width="22.7265625" customWidth="1" style="662" min="6658" max="6658"/>
    <col width="2.453125" customWidth="1" style="662" min="6659" max="6659"/>
    <col width="13.7265625" customWidth="1" style="662" min="6660" max="6660"/>
    <col width="7.26953125" customWidth="1" style="662" min="6661" max="6661"/>
    <col width="6.7265625" customWidth="1" style="662" min="6662" max="6662"/>
    <col width="7.26953125" customWidth="1" style="662" min="6663" max="6664"/>
    <col width="9.1796875" customWidth="1" style="662" min="6665" max="6665"/>
    <col width="29.26953125" customWidth="1" style="662" min="6666" max="6666"/>
    <col width="34.7265625" customWidth="1" style="662" min="6667" max="6667"/>
    <col width="9.1796875" customWidth="1" style="662" min="6668" max="6912"/>
    <col width="21.453125" customWidth="1" style="662" min="6913" max="6913"/>
    <col width="22.7265625" customWidth="1" style="662" min="6914" max="6914"/>
    <col width="2.453125" customWidth="1" style="662" min="6915" max="6915"/>
    <col width="13.7265625" customWidth="1" style="662" min="6916" max="6916"/>
    <col width="7.26953125" customWidth="1" style="662" min="6917" max="6917"/>
    <col width="6.7265625" customWidth="1" style="662" min="6918" max="6918"/>
    <col width="7.26953125" customWidth="1" style="662" min="6919" max="6920"/>
    <col width="9.1796875" customWidth="1" style="662" min="6921" max="6921"/>
    <col width="29.26953125" customWidth="1" style="662" min="6922" max="6922"/>
    <col width="34.7265625" customWidth="1" style="662" min="6923" max="6923"/>
    <col width="9.1796875" customWidth="1" style="662" min="6924" max="7168"/>
    <col width="21.453125" customWidth="1" style="662" min="7169" max="7169"/>
    <col width="22.7265625" customWidth="1" style="662" min="7170" max="7170"/>
    <col width="2.453125" customWidth="1" style="662" min="7171" max="7171"/>
    <col width="13.7265625" customWidth="1" style="662" min="7172" max="7172"/>
    <col width="7.26953125" customWidth="1" style="662" min="7173" max="7173"/>
    <col width="6.7265625" customWidth="1" style="662" min="7174" max="7174"/>
    <col width="7.26953125" customWidth="1" style="662" min="7175" max="7176"/>
    <col width="9.1796875" customWidth="1" style="662" min="7177" max="7177"/>
    <col width="29.26953125" customWidth="1" style="662" min="7178" max="7178"/>
    <col width="34.7265625" customWidth="1" style="662" min="7179" max="7179"/>
    <col width="9.1796875" customWidth="1" style="662" min="7180" max="7424"/>
    <col width="21.453125" customWidth="1" style="662" min="7425" max="7425"/>
    <col width="22.7265625" customWidth="1" style="662" min="7426" max="7426"/>
    <col width="2.453125" customWidth="1" style="662" min="7427" max="7427"/>
    <col width="13.7265625" customWidth="1" style="662" min="7428" max="7428"/>
    <col width="7.26953125" customWidth="1" style="662" min="7429" max="7429"/>
    <col width="6.7265625" customWidth="1" style="662" min="7430" max="7430"/>
    <col width="7.26953125" customWidth="1" style="662" min="7431" max="7432"/>
    <col width="9.1796875" customWidth="1" style="662" min="7433" max="7433"/>
    <col width="29.26953125" customWidth="1" style="662" min="7434" max="7434"/>
    <col width="34.7265625" customWidth="1" style="662" min="7435" max="7435"/>
    <col width="9.1796875" customWidth="1" style="662" min="7436" max="7680"/>
    <col width="21.453125" customWidth="1" style="662" min="7681" max="7681"/>
    <col width="22.7265625" customWidth="1" style="662" min="7682" max="7682"/>
    <col width="2.453125" customWidth="1" style="662" min="7683" max="7683"/>
    <col width="13.7265625" customWidth="1" style="662" min="7684" max="7684"/>
    <col width="7.26953125" customWidth="1" style="662" min="7685" max="7685"/>
    <col width="6.7265625" customWidth="1" style="662" min="7686" max="7686"/>
    <col width="7.26953125" customWidth="1" style="662" min="7687" max="7688"/>
    <col width="9.1796875" customWidth="1" style="662" min="7689" max="7689"/>
    <col width="29.26953125" customWidth="1" style="662" min="7690" max="7690"/>
    <col width="34.7265625" customWidth="1" style="662" min="7691" max="7691"/>
    <col width="9.1796875" customWidth="1" style="662" min="7692" max="7936"/>
    <col width="21.453125" customWidth="1" style="662" min="7937" max="7937"/>
    <col width="22.7265625" customWidth="1" style="662" min="7938" max="7938"/>
    <col width="2.453125" customWidth="1" style="662" min="7939" max="7939"/>
    <col width="13.7265625" customWidth="1" style="662" min="7940" max="7940"/>
    <col width="7.26953125" customWidth="1" style="662" min="7941" max="7941"/>
    <col width="6.7265625" customWidth="1" style="662" min="7942" max="7942"/>
    <col width="7.26953125" customWidth="1" style="662" min="7943" max="7944"/>
    <col width="9.1796875" customWidth="1" style="662" min="7945" max="7945"/>
    <col width="29.26953125" customWidth="1" style="662" min="7946" max="7946"/>
    <col width="34.7265625" customWidth="1" style="662" min="7947" max="7947"/>
    <col width="9.1796875" customWidth="1" style="662" min="7948" max="8192"/>
    <col width="21.453125" customWidth="1" style="662" min="8193" max="8193"/>
    <col width="22.7265625" customWidth="1" style="662" min="8194" max="8194"/>
    <col width="2.453125" customWidth="1" style="662" min="8195" max="8195"/>
    <col width="13.7265625" customWidth="1" style="662" min="8196" max="8196"/>
    <col width="7.26953125" customWidth="1" style="662" min="8197" max="8197"/>
    <col width="6.7265625" customWidth="1" style="662" min="8198" max="8198"/>
    <col width="7.26953125" customWidth="1" style="662" min="8199" max="8200"/>
    <col width="9.1796875" customWidth="1" style="662" min="8201" max="8201"/>
    <col width="29.26953125" customWidth="1" style="662" min="8202" max="8202"/>
    <col width="34.7265625" customWidth="1" style="662" min="8203" max="8203"/>
    <col width="9.1796875" customWidth="1" style="662" min="8204" max="8448"/>
    <col width="21.453125" customWidth="1" style="662" min="8449" max="8449"/>
    <col width="22.7265625" customWidth="1" style="662" min="8450" max="8450"/>
    <col width="2.453125" customWidth="1" style="662" min="8451" max="8451"/>
    <col width="13.7265625" customWidth="1" style="662" min="8452" max="8452"/>
    <col width="7.26953125" customWidth="1" style="662" min="8453" max="8453"/>
    <col width="6.7265625" customWidth="1" style="662" min="8454" max="8454"/>
    <col width="7.26953125" customWidth="1" style="662" min="8455" max="8456"/>
    <col width="9.1796875" customWidth="1" style="662" min="8457" max="8457"/>
    <col width="29.26953125" customWidth="1" style="662" min="8458" max="8458"/>
    <col width="34.7265625" customWidth="1" style="662" min="8459" max="8459"/>
    <col width="9.1796875" customWidth="1" style="662" min="8460" max="8704"/>
    <col width="21.453125" customWidth="1" style="662" min="8705" max="8705"/>
    <col width="22.7265625" customWidth="1" style="662" min="8706" max="8706"/>
    <col width="2.453125" customWidth="1" style="662" min="8707" max="8707"/>
    <col width="13.7265625" customWidth="1" style="662" min="8708" max="8708"/>
    <col width="7.26953125" customWidth="1" style="662" min="8709" max="8709"/>
    <col width="6.7265625" customWidth="1" style="662" min="8710" max="8710"/>
    <col width="7.26953125" customWidth="1" style="662" min="8711" max="8712"/>
    <col width="9.1796875" customWidth="1" style="662" min="8713" max="8713"/>
    <col width="29.26953125" customWidth="1" style="662" min="8714" max="8714"/>
    <col width="34.7265625" customWidth="1" style="662" min="8715" max="8715"/>
    <col width="9.1796875" customWidth="1" style="662" min="8716" max="8960"/>
    <col width="21.453125" customWidth="1" style="662" min="8961" max="8961"/>
    <col width="22.7265625" customWidth="1" style="662" min="8962" max="8962"/>
    <col width="2.453125" customWidth="1" style="662" min="8963" max="8963"/>
    <col width="13.7265625" customWidth="1" style="662" min="8964" max="8964"/>
    <col width="7.26953125" customWidth="1" style="662" min="8965" max="8965"/>
    <col width="6.7265625" customWidth="1" style="662" min="8966" max="8966"/>
    <col width="7.26953125" customWidth="1" style="662" min="8967" max="8968"/>
    <col width="9.1796875" customWidth="1" style="662" min="8969" max="8969"/>
    <col width="29.26953125" customWidth="1" style="662" min="8970" max="8970"/>
    <col width="34.7265625" customWidth="1" style="662" min="8971" max="8971"/>
    <col width="9.1796875" customWidth="1" style="662" min="8972" max="9216"/>
    <col width="21.453125" customWidth="1" style="662" min="9217" max="9217"/>
    <col width="22.7265625" customWidth="1" style="662" min="9218" max="9218"/>
    <col width="2.453125" customWidth="1" style="662" min="9219" max="9219"/>
    <col width="13.7265625" customWidth="1" style="662" min="9220" max="9220"/>
    <col width="7.26953125" customWidth="1" style="662" min="9221" max="9221"/>
    <col width="6.7265625" customWidth="1" style="662" min="9222" max="9222"/>
    <col width="7.26953125" customWidth="1" style="662" min="9223" max="9224"/>
    <col width="9.1796875" customWidth="1" style="662" min="9225" max="9225"/>
    <col width="29.26953125" customWidth="1" style="662" min="9226" max="9226"/>
    <col width="34.7265625" customWidth="1" style="662" min="9227" max="9227"/>
    <col width="9.1796875" customWidth="1" style="662" min="9228" max="9472"/>
    <col width="21.453125" customWidth="1" style="662" min="9473" max="9473"/>
    <col width="22.7265625" customWidth="1" style="662" min="9474" max="9474"/>
    <col width="2.453125" customWidth="1" style="662" min="9475" max="9475"/>
    <col width="13.7265625" customWidth="1" style="662" min="9476" max="9476"/>
    <col width="7.26953125" customWidth="1" style="662" min="9477" max="9477"/>
    <col width="6.7265625" customWidth="1" style="662" min="9478" max="9478"/>
    <col width="7.26953125" customWidth="1" style="662" min="9479" max="9480"/>
    <col width="9.1796875" customWidth="1" style="662" min="9481" max="9481"/>
    <col width="29.26953125" customWidth="1" style="662" min="9482" max="9482"/>
    <col width="34.7265625" customWidth="1" style="662" min="9483" max="9483"/>
    <col width="9.1796875" customWidth="1" style="662" min="9484" max="9728"/>
    <col width="21.453125" customWidth="1" style="662" min="9729" max="9729"/>
    <col width="22.7265625" customWidth="1" style="662" min="9730" max="9730"/>
    <col width="2.453125" customWidth="1" style="662" min="9731" max="9731"/>
    <col width="13.7265625" customWidth="1" style="662" min="9732" max="9732"/>
    <col width="7.26953125" customWidth="1" style="662" min="9733" max="9733"/>
    <col width="6.7265625" customWidth="1" style="662" min="9734" max="9734"/>
    <col width="7.26953125" customWidth="1" style="662" min="9735" max="9736"/>
    <col width="9.1796875" customWidth="1" style="662" min="9737" max="9737"/>
    <col width="29.26953125" customWidth="1" style="662" min="9738" max="9738"/>
    <col width="34.7265625" customWidth="1" style="662" min="9739" max="9739"/>
    <col width="9.1796875" customWidth="1" style="662" min="9740" max="9984"/>
    <col width="21.453125" customWidth="1" style="662" min="9985" max="9985"/>
    <col width="22.7265625" customWidth="1" style="662" min="9986" max="9986"/>
    <col width="2.453125" customWidth="1" style="662" min="9987" max="9987"/>
    <col width="13.7265625" customWidth="1" style="662" min="9988" max="9988"/>
    <col width="7.26953125" customWidth="1" style="662" min="9989" max="9989"/>
    <col width="6.7265625" customWidth="1" style="662" min="9990" max="9990"/>
    <col width="7.26953125" customWidth="1" style="662" min="9991" max="9992"/>
    <col width="9.1796875" customWidth="1" style="662" min="9993" max="9993"/>
    <col width="29.26953125" customWidth="1" style="662" min="9994" max="9994"/>
    <col width="34.7265625" customWidth="1" style="662" min="9995" max="9995"/>
    <col width="9.1796875" customWidth="1" style="662" min="9996" max="10240"/>
    <col width="21.453125" customWidth="1" style="662" min="10241" max="10241"/>
    <col width="22.7265625" customWidth="1" style="662" min="10242" max="10242"/>
    <col width="2.453125" customWidth="1" style="662" min="10243" max="10243"/>
    <col width="13.7265625" customWidth="1" style="662" min="10244" max="10244"/>
    <col width="7.26953125" customWidth="1" style="662" min="10245" max="10245"/>
    <col width="6.7265625" customWidth="1" style="662" min="10246" max="10246"/>
    <col width="7.26953125" customWidth="1" style="662" min="10247" max="10248"/>
    <col width="9.1796875" customWidth="1" style="662" min="10249" max="10249"/>
    <col width="29.26953125" customWidth="1" style="662" min="10250" max="10250"/>
    <col width="34.7265625" customWidth="1" style="662" min="10251" max="10251"/>
    <col width="9.1796875" customWidth="1" style="662" min="10252" max="10496"/>
    <col width="21.453125" customWidth="1" style="662" min="10497" max="10497"/>
    <col width="22.7265625" customWidth="1" style="662" min="10498" max="10498"/>
    <col width="2.453125" customWidth="1" style="662" min="10499" max="10499"/>
    <col width="13.7265625" customWidth="1" style="662" min="10500" max="10500"/>
    <col width="7.26953125" customWidth="1" style="662" min="10501" max="10501"/>
    <col width="6.7265625" customWidth="1" style="662" min="10502" max="10502"/>
    <col width="7.26953125" customWidth="1" style="662" min="10503" max="10504"/>
    <col width="9.1796875" customWidth="1" style="662" min="10505" max="10505"/>
    <col width="29.26953125" customWidth="1" style="662" min="10506" max="10506"/>
    <col width="34.7265625" customWidth="1" style="662" min="10507" max="10507"/>
    <col width="9.1796875" customWidth="1" style="662" min="10508" max="10752"/>
    <col width="21.453125" customWidth="1" style="662" min="10753" max="10753"/>
    <col width="22.7265625" customWidth="1" style="662" min="10754" max="10754"/>
    <col width="2.453125" customWidth="1" style="662" min="10755" max="10755"/>
    <col width="13.7265625" customWidth="1" style="662" min="10756" max="10756"/>
    <col width="7.26953125" customWidth="1" style="662" min="10757" max="10757"/>
    <col width="6.7265625" customWidth="1" style="662" min="10758" max="10758"/>
    <col width="7.26953125" customWidth="1" style="662" min="10759" max="10760"/>
    <col width="9.1796875" customWidth="1" style="662" min="10761" max="10761"/>
    <col width="29.26953125" customWidth="1" style="662" min="10762" max="10762"/>
    <col width="34.7265625" customWidth="1" style="662" min="10763" max="10763"/>
    <col width="9.1796875" customWidth="1" style="662" min="10764" max="11008"/>
    <col width="21.453125" customWidth="1" style="662" min="11009" max="11009"/>
    <col width="22.7265625" customWidth="1" style="662" min="11010" max="11010"/>
    <col width="2.453125" customWidth="1" style="662" min="11011" max="11011"/>
    <col width="13.7265625" customWidth="1" style="662" min="11012" max="11012"/>
    <col width="7.26953125" customWidth="1" style="662" min="11013" max="11013"/>
    <col width="6.7265625" customWidth="1" style="662" min="11014" max="11014"/>
    <col width="7.26953125" customWidth="1" style="662" min="11015" max="11016"/>
    <col width="9.1796875" customWidth="1" style="662" min="11017" max="11017"/>
    <col width="29.26953125" customWidth="1" style="662" min="11018" max="11018"/>
    <col width="34.7265625" customWidth="1" style="662" min="11019" max="11019"/>
    <col width="9.1796875" customWidth="1" style="662" min="11020" max="11264"/>
    <col width="21.453125" customWidth="1" style="662" min="11265" max="11265"/>
    <col width="22.7265625" customWidth="1" style="662" min="11266" max="11266"/>
    <col width="2.453125" customWidth="1" style="662" min="11267" max="11267"/>
    <col width="13.7265625" customWidth="1" style="662" min="11268" max="11268"/>
    <col width="7.26953125" customWidth="1" style="662" min="11269" max="11269"/>
    <col width="6.7265625" customWidth="1" style="662" min="11270" max="11270"/>
    <col width="7.26953125" customWidth="1" style="662" min="11271" max="11272"/>
    <col width="9.1796875" customWidth="1" style="662" min="11273" max="11273"/>
    <col width="29.26953125" customWidth="1" style="662" min="11274" max="11274"/>
    <col width="34.7265625" customWidth="1" style="662" min="11275" max="11275"/>
    <col width="9.1796875" customWidth="1" style="662" min="11276" max="11520"/>
    <col width="21.453125" customWidth="1" style="662" min="11521" max="11521"/>
    <col width="22.7265625" customWidth="1" style="662" min="11522" max="11522"/>
    <col width="2.453125" customWidth="1" style="662" min="11523" max="11523"/>
    <col width="13.7265625" customWidth="1" style="662" min="11524" max="11524"/>
    <col width="7.26953125" customWidth="1" style="662" min="11525" max="11525"/>
    <col width="6.7265625" customWidth="1" style="662" min="11526" max="11526"/>
    <col width="7.26953125" customWidth="1" style="662" min="11527" max="11528"/>
    <col width="9.1796875" customWidth="1" style="662" min="11529" max="11529"/>
    <col width="29.26953125" customWidth="1" style="662" min="11530" max="11530"/>
    <col width="34.7265625" customWidth="1" style="662" min="11531" max="11531"/>
    <col width="9.1796875" customWidth="1" style="662" min="11532" max="11776"/>
    <col width="21.453125" customWidth="1" style="662" min="11777" max="11777"/>
    <col width="22.7265625" customWidth="1" style="662" min="11778" max="11778"/>
    <col width="2.453125" customWidth="1" style="662" min="11779" max="11779"/>
    <col width="13.7265625" customWidth="1" style="662" min="11780" max="11780"/>
    <col width="7.26953125" customWidth="1" style="662" min="11781" max="11781"/>
    <col width="6.7265625" customWidth="1" style="662" min="11782" max="11782"/>
    <col width="7.26953125" customWidth="1" style="662" min="11783" max="11784"/>
    <col width="9.1796875" customWidth="1" style="662" min="11785" max="11785"/>
    <col width="29.26953125" customWidth="1" style="662" min="11786" max="11786"/>
    <col width="34.7265625" customWidth="1" style="662" min="11787" max="11787"/>
    <col width="9.1796875" customWidth="1" style="662" min="11788" max="12032"/>
    <col width="21.453125" customWidth="1" style="662" min="12033" max="12033"/>
    <col width="22.7265625" customWidth="1" style="662" min="12034" max="12034"/>
    <col width="2.453125" customWidth="1" style="662" min="12035" max="12035"/>
    <col width="13.7265625" customWidth="1" style="662" min="12036" max="12036"/>
    <col width="7.26953125" customWidth="1" style="662" min="12037" max="12037"/>
    <col width="6.7265625" customWidth="1" style="662" min="12038" max="12038"/>
    <col width="7.26953125" customWidth="1" style="662" min="12039" max="12040"/>
    <col width="9.1796875" customWidth="1" style="662" min="12041" max="12041"/>
    <col width="29.26953125" customWidth="1" style="662" min="12042" max="12042"/>
    <col width="34.7265625" customWidth="1" style="662" min="12043" max="12043"/>
    <col width="9.1796875" customWidth="1" style="662" min="12044" max="12288"/>
    <col width="21.453125" customWidth="1" style="662" min="12289" max="12289"/>
    <col width="22.7265625" customWidth="1" style="662" min="12290" max="12290"/>
    <col width="2.453125" customWidth="1" style="662" min="12291" max="12291"/>
    <col width="13.7265625" customWidth="1" style="662" min="12292" max="12292"/>
    <col width="7.26953125" customWidth="1" style="662" min="12293" max="12293"/>
    <col width="6.7265625" customWidth="1" style="662" min="12294" max="12294"/>
    <col width="7.26953125" customWidth="1" style="662" min="12295" max="12296"/>
    <col width="9.1796875" customWidth="1" style="662" min="12297" max="12297"/>
    <col width="29.26953125" customWidth="1" style="662" min="12298" max="12298"/>
    <col width="34.7265625" customWidth="1" style="662" min="12299" max="12299"/>
    <col width="9.1796875" customWidth="1" style="662" min="12300" max="12544"/>
    <col width="21.453125" customWidth="1" style="662" min="12545" max="12545"/>
    <col width="22.7265625" customWidth="1" style="662" min="12546" max="12546"/>
    <col width="2.453125" customWidth="1" style="662" min="12547" max="12547"/>
    <col width="13.7265625" customWidth="1" style="662" min="12548" max="12548"/>
    <col width="7.26953125" customWidth="1" style="662" min="12549" max="12549"/>
    <col width="6.7265625" customWidth="1" style="662" min="12550" max="12550"/>
    <col width="7.26953125" customWidth="1" style="662" min="12551" max="12552"/>
    <col width="9.1796875" customWidth="1" style="662" min="12553" max="12553"/>
    <col width="29.26953125" customWidth="1" style="662" min="12554" max="12554"/>
    <col width="34.7265625" customWidth="1" style="662" min="12555" max="12555"/>
    <col width="9.1796875" customWidth="1" style="662" min="12556" max="12800"/>
    <col width="21.453125" customWidth="1" style="662" min="12801" max="12801"/>
    <col width="22.7265625" customWidth="1" style="662" min="12802" max="12802"/>
    <col width="2.453125" customWidth="1" style="662" min="12803" max="12803"/>
    <col width="13.7265625" customWidth="1" style="662" min="12804" max="12804"/>
    <col width="7.26953125" customWidth="1" style="662" min="12805" max="12805"/>
    <col width="6.7265625" customWidth="1" style="662" min="12806" max="12806"/>
    <col width="7.26953125" customWidth="1" style="662" min="12807" max="12808"/>
    <col width="9.1796875" customWidth="1" style="662" min="12809" max="12809"/>
    <col width="29.26953125" customWidth="1" style="662" min="12810" max="12810"/>
    <col width="34.7265625" customWidth="1" style="662" min="12811" max="12811"/>
    <col width="9.1796875" customWidth="1" style="662" min="12812" max="13056"/>
    <col width="21.453125" customWidth="1" style="662" min="13057" max="13057"/>
    <col width="22.7265625" customWidth="1" style="662" min="13058" max="13058"/>
    <col width="2.453125" customWidth="1" style="662" min="13059" max="13059"/>
    <col width="13.7265625" customWidth="1" style="662" min="13060" max="13060"/>
    <col width="7.26953125" customWidth="1" style="662" min="13061" max="13061"/>
    <col width="6.7265625" customWidth="1" style="662" min="13062" max="13062"/>
    <col width="7.26953125" customWidth="1" style="662" min="13063" max="13064"/>
    <col width="9.1796875" customWidth="1" style="662" min="13065" max="13065"/>
    <col width="29.26953125" customWidth="1" style="662" min="13066" max="13066"/>
    <col width="34.7265625" customWidth="1" style="662" min="13067" max="13067"/>
    <col width="9.1796875" customWidth="1" style="662" min="13068" max="13312"/>
    <col width="21.453125" customWidth="1" style="662" min="13313" max="13313"/>
    <col width="22.7265625" customWidth="1" style="662" min="13314" max="13314"/>
    <col width="2.453125" customWidth="1" style="662" min="13315" max="13315"/>
    <col width="13.7265625" customWidth="1" style="662" min="13316" max="13316"/>
    <col width="7.26953125" customWidth="1" style="662" min="13317" max="13317"/>
    <col width="6.7265625" customWidth="1" style="662" min="13318" max="13318"/>
    <col width="7.26953125" customWidth="1" style="662" min="13319" max="13320"/>
    <col width="9.1796875" customWidth="1" style="662" min="13321" max="13321"/>
    <col width="29.26953125" customWidth="1" style="662" min="13322" max="13322"/>
    <col width="34.7265625" customWidth="1" style="662" min="13323" max="13323"/>
    <col width="9.1796875" customWidth="1" style="662" min="13324" max="13568"/>
    <col width="21.453125" customWidth="1" style="662" min="13569" max="13569"/>
    <col width="22.7265625" customWidth="1" style="662" min="13570" max="13570"/>
    <col width="2.453125" customWidth="1" style="662" min="13571" max="13571"/>
    <col width="13.7265625" customWidth="1" style="662" min="13572" max="13572"/>
    <col width="7.26953125" customWidth="1" style="662" min="13573" max="13573"/>
    <col width="6.7265625" customWidth="1" style="662" min="13574" max="13574"/>
    <col width="7.26953125" customWidth="1" style="662" min="13575" max="13576"/>
    <col width="9.1796875" customWidth="1" style="662" min="13577" max="13577"/>
    <col width="29.26953125" customWidth="1" style="662" min="13578" max="13578"/>
    <col width="34.7265625" customWidth="1" style="662" min="13579" max="13579"/>
    <col width="9.1796875" customWidth="1" style="662" min="13580" max="13824"/>
    <col width="21.453125" customWidth="1" style="662" min="13825" max="13825"/>
    <col width="22.7265625" customWidth="1" style="662" min="13826" max="13826"/>
    <col width="2.453125" customWidth="1" style="662" min="13827" max="13827"/>
    <col width="13.7265625" customWidth="1" style="662" min="13828" max="13828"/>
    <col width="7.26953125" customWidth="1" style="662" min="13829" max="13829"/>
    <col width="6.7265625" customWidth="1" style="662" min="13830" max="13830"/>
    <col width="7.26953125" customWidth="1" style="662" min="13831" max="13832"/>
    <col width="9.1796875" customWidth="1" style="662" min="13833" max="13833"/>
    <col width="29.26953125" customWidth="1" style="662" min="13834" max="13834"/>
    <col width="34.7265625" customWidth="1" style="662" min="13835" max="13835"/>
    <col width="9.1796875" customWidth="1" style="662" min="13836" max="14080"/>
    <col width="21.453125" customWidth="1" style="662" min="14081" max="14081"/>
    <col width="22.7265625" customWidth="1" style="662" min="14082" max="14082"/>
    <col width="2.453125" customWidth="1" style="662" min="14083" max="14083"/>
    <col width="13.7265625" customWidth="1" style="662" min="14084" max="14084"/>
    <col width="7.26953125" customWidth="1" style="662" min="14085" max="14085"/>
    <col width="6.7265625" customWidth="1" style="662" min="14086" max="14086"/>
    <col width="7.26953125" customWidth="1" style="662" min="14087" max="14088"/>
    <col width="9.1796875" customWidth="1" style="662" min="14089" max="14089"/>
    <col width="29.26953125" customWidth="1" style="662" min="14090" max="14090"/>
    <col width="34.7265625" customWidth="1" style="662" min="14091" max="14091"/>
    <col width="9.1796875" customWidth="1" style="662" min="14092" max="14336"/>
    <col width="21.453125" customWidth="1" style="662" min="14337" max="14337"/>
    <col width="22.7265625" customWidth="1" style="662" min="14338" max="14338"/>
    <col width="2.453125" customWidth="1" style="662" min="14339" max="14339"/>
    <col width="13.7265625" customWidth="1" style="662" min="14340" max="14340"/>
    <col width="7.26953125" customWidth="1" style="662" min="14341" max="14341"/>
    <col width="6.7265625" customWidth="1" style="662" min="14342" max="14342"/>
    <col width="7.26953125" customWidth="1" style="662" min="14343" max="14344"/>
    <col width="9.1796875" customWidth="1" style="662" min="14345" max="14345"/>
    <col width="29.26953125" customWidth="1" style="662" min="14346" max="14346"/>
    <col width="34.7265625" customWidth="1" style="662" min="14347" max="14347"/>
    <col width="9.1796875" customWidth="1" style="662" min="14348" max="14592"/>
    <col width="21.453125" customWidth="1" style="662" min="14593" max="14593"/>
    <col width="22.7265625" customWidth="1" style="662" min="14594" max="14594"/>
    <col width="2.453125" customWidth="1" style="662" min="14595" max="14595"/>
    <col width="13.7265625" customWidth="1" style="662" min="14596" max="14596"/>
    <col width="7.26953125" customWidth="1" style="662" min="14597" max="14597"/>
    <col width="6.7265625" customWidth="1" style="662" min="14598" max="14598"/>
    <col width="7.26953125" customWidth="1" style="662" min="14599" max="14600"/>
    <col width="9.1796875" customWidth="1" style="662" min="14601" max="14601"/>
    <col width="29.26953125" customWidth="1" style="662" min="14602" max="14602"/>
    <col width="34.7265625" customWidth="1" style="662" min="14603" max="14603"/>
    <col width="9.1796875" customWidth="1" style="662" min="14604" max="14848"/>
    <col width="21.453125" customWidth="1" style="662" min="14849" max="14849"/>
    <col width="22.7265625" customWidth="1" style="662" min="14850" max="14850"/>
    <col width="2.453125" customWidth="1" style="662" min="14851" max="14851"/>
    <col width="13.7265625" customWidth="1" style="662" min="14852" max="14852"/>
    <col width="7.26953125" customWidth="1" style="662" min="14853" max="14853"/>
    <col width="6.7265625" customWidth="1" style="662" min="14854" max="14854"/>
    <col width="7.26953125" customWidth="1" style="662" min="14855" max="14856"/>
    <col width="9.1796875" customWidth="1" style="662" min="14857" max="14857"/>
    <col width="29.26953125" customWidth="1" style="662" min="14858" max="14858"/>
    <col width="34.7265625" customWidth="1" style="662" min="14859" max="14859"/>
    <col width="9.1796875" customWidth="1" style="662" min="14860" max="15104"/>
    <col width="21.453125" customWidth="1" style="662" min="15105" max="15105"/>
    <col width="22.7265625" customWidth="1" style="662" min="15106" max="15106"/>
    <col width="2.453125" customWidth="1" style="662" min="15107" max="15107"/>
    <col width="13.7265625" customWidth="1" style="662" min="15108" max="15108"/>
    <col width="7.26953125" customWidth="1" style="662" min="15109" max="15109"/>
    <col width="6.7265625" customWidth="1" style="662" min="15110" max="15110"/>
    <col width="7.26953125" customWidth="1" style="662" min="15111" max="15112"/>
    <col width="9.1796875" customWidth="1" style="662" min="15113" max="15113"/>
    <col width="29.26953125" customWidth="1" style="662" min="15114" max="15114"/>
    <col width="34.7265625" customWidth="1" style="662" min="15115" max="15115"/>
    <col width="9.1796875" customWidth="1" style="662" min="15116" max="15360"/>
    <col width="21.453125" customWidth="1" style="662" min="15361" max="15361"/>
    <col width="22.7265625" customWidth="1" style="662" min="15362" max="15362"/>
    <col width="2.453125" customWidth="1" style="662" min="15363" max="15363"/>
    <col width="13.7265625" customWidth="1" style="662" min="15364" max="15364"/>
    <col width="7.26953125" customWidth="1" style="662" min="15365" max="15365"/>
    <col width="6.7265625" customWidth="1" style="662" min="15366" max="15366"/>
    <col width="7.26953125" customWidth="1" style="662" min="15367" max="15368"/>
    <col width="9.1796875" customWidth="1" style="662" min="15369" max="15369"/>
    <col width="29.26953125" customWidth="1" style="662" min="15370" max="15370"/>
    <col width="34.7265625" customWidth="1" style="662" min="15371" max="15371"/>
    <col width="9.1796875" customWidth="1" style="662" min="15372" max="15616"/>
    <col width="21.453125" customWidth="1" style="662" min="15617" max="15617"/>
    <col width="22.7265625" customWidth="1" style="662" min="15618" max="15618"/>
    <col width="2.453125" customWidth="1" style="662" min="15619" max="15619"/>
    <col width="13.7265625" customWidth="1" style="662" min="15620" max="15620"/>
    <col width="7.26953125" customWidth="1" style="662" min="15621" max="15621"/>
    <col width="6.7265625" customWidth="1" style="662" min="15622" max="15622"/>
    <col width="7.26953125" customWidth="1" style="662" min="15623" max="15624"/>
    <col width="9.1796875" customWidth="1" style="662" min="15625" max="15625"/>
    <col width="29.26953125" customWidth="1" style="662" min="15626" max="15626"/>
    <col width="34.7265625" customWidth="1" style="662" min="15627" max="15627"/>
    <col width="9.1796875" customWidth="1" style="662" min="15628" max="15872"/>
    <col width="21.453125" customWidth="1" style="662" min="15873" max="15873"/>
    <col width="22.7265625" customWidth="1" style="662" min="15874" max="15874"/>
    <col width="2.453125" customWidth="1" style="662" min="15875" max="15875"/>
    <col width="13.7265625" customWidth="1" style="662" min="15876" max="15876"/>
    <col width="7.26953125" customWidth="1" style="662" min="15877" max="15877"/>
    <col width="6.7265625" customWidth="1" style="662" min="15878" max="15878"/>
    <col width="7.26953125" customWidth="1" style="662" min="15879" max="15880"/>
    <col width="9.1796875" customWidth="1" style="662" min="15881" max="15881"/>
    <col width="29.26953125" customWidth="1" style="662" min="15882" max="15882"/>
    <col width="34.7265625" customWidth="1" style="662" min="15883" max="15883"/>
    <col width="9.1796875" customWidth="1" style="662" min="15884" max="16128"/>
    <col width="21.453125" customWidth="1" style="662" min="16129" max="16129"/>
    <col width="22.7265625" customWidth="1" style="662" min="16130" max="16130"/>
    <col width="2.453125" customWidth="1" style="662" min="16131" max="16131"/>
    <col width="13.7265625" customWidth="1" style="662" min="16132" max="16132"/>
    <col width="7.26953125" customWidth="1" style="662" min="16133" max="16133"/>
    <col width="6.7265625" customWidth="1" style="662" min="16134" max="16134"/>
    <col width="7.26953125" customWidth="1" style="662" min="16135" max="16136"/>
    <col width="9.1796875" customWidth="1" style="662" min="16137" max="16137"/>
    <col width="29.26953125" customWidth="1" style="662" min="16138" max="16138"/>
    <col width="34.7265625" customWidth="1" style="662" min="16139" max="16139"/>
    <col width="9.1796875" customWidth="1" style="662" min="16140" max="16384"/>
  </cols>
  <sheetData>
    <row r="1" ht="30" customHeight="1">
      <c r="A1" s="855" t="inlineStr">
        <is>
          <t>Job Packet Verification Checklist</t>
        </is>
      </c>
      <c r="B1" s="856" t="n"/>
      <c r="C1" s="857" t="n"/>
      <c r="D1" s="558" t="inlineStr">
        <is>
          <t>DOC: FRM-109</t>
        </is>
      </c>
      <c r="E1" s="558" t="inlineStr">
        <is>
          <t>REVISION LEVEL: 011</t>
        </is>
      </c>
      <c r="F1" s="857" t="n"/>
      <c r="G1" s="560" t="inlineStr">
        <is>
          <t>ISSUE DATE:  5/6/21</t>
        </is>
      </c>
      <c r="H1" s="857" t="n"/>
      <c r="I1" s="41" t="n"/>
      <c r="J1" s="42" t="n"/>
      <c r="K1" s="42" t="n"/>
      <c r="L1" s="42" t="n"/>
      <c r="N1" s="653" t="n"/>
      <c r="P1" s="45" t="n"/>
      <c r="R1" s="653" t="n"/>
      <c r="T1" s="46" t="n"/>
      <c r="U1" s="46" t="n"/>
      <c r="V1" s="46" t="n"/>
      <c r="W1" s="46" t="n"/>
      <c r="X1" s="46" t="n"/>
      <c r="Y1" s="46" t="n"/>
      <c r="Z1" s="46" t="n"/>
      <c r="AA1" s="46" t="n"/>
      <c r="AB1" s="46" t="n"/>
      <c r="AC1" s="46" t="n"/>
      <c r="AD1" s="46" t="n"/>
      <c r="AE1" s="46" t="n"/>
      <c r="AF1" s="46" t="n"/>
      <c r="AG1" s="46" t="n"/>
      <c r="AH1" s="46" t="n"/>
      <c r="AI1" s="46" t="n"/>
      <c r="AJ1" s="46" t="n"/>
      <c r="AK1" s="46" t="n"/>
      <c r="AL1" s="46" t="n"/>
      <c r="AM1" s="46" t="n"/>
      <c r="AN1" s="46" t="n"/>
      <c r="AO1" s="46" t="n"/>
      <c r="AP1" s="46" t="n"/>
      <c r="AQ1" s="46" t="n"/>
      <c r="AR1" s="46" t="n"/>
      <c r="AS1" s="46" t="n"/>
      <c r="AT1" s="46" t="n"/>
      <c r="AU1" s="46" t="n"/>
      <c r="AV1" s="46" t="n"/>
      <c r="AW1" s="46" t="n"/>
      <c r="AX1" s="46" t="n"/>
      <c r="AY1" s="46" t="n"/>
      <c r="AZ1" s="46" t="n"/>
      <c r="BA1" s="46" t="n"/>
      <c r="BB1" s="46" t="n"/>
      <c r="BC1" s="46" t="n"/>
      <c r="BD1" s="46" t="n"/>
      <c r="BE1" s="46" t="n"/>
      <c r="BF1" s="46" t="n"/>
      <c r="BG1" s="46" t="n"/>
      <c r="BH1" s="46" t="n"/>
      <c r="BI1" s="46" t="n"/>
      <c r="BJ1" s="46" t="n"/>
      <c r="BK1" s="46" t="n"/>
      <c r="BL1" s="46" t="n"/>
      <c r="BM1" s="46" t="n"/>
      <c r="BN1" s="46" t="n"/>
      <c r="BO1" s="46" t="n"/>
      <c r="BQ1" s="46" t="n"/>
      <c r="BR1" s="46" t="n"/>
      <c r="BS1" s="46" t="n"/>
      <c r="BT1" s="46" t="n"/>
      <c r="BU1" s="46" t="n"/>
      <c r="BV1" s="46" t="n"/>
      <c r="BW1" s="46" t="n"/>
      <c r="BX1" s="46" t="n"/>
      <c r="BY1" s="46" t="n"/>
      <c r="BZ1" s="46" t="n"/>
      <c r="CA1" s="46" t="n"/>
      <c r="CB1" s="46" t="n"/>
      <c r="CC1" s="46" t="n"/>
      <c r="CD1" s="46" t="n"/>
    </row>
    <row r="2" ht="30" customHeight="1">
      <c r="A2" s="858" t="inlineStr">
        <is>
          <t>Form Reviewed by:  Quality Coordinator</t>
        </is>
      </c>
      <c r="B2" s="856" t="n"/>
      <c r="C2" s="857" t="n"/>
      <c r="D2" s="558" t="inlineStr">
        <is>
          <t>Form Approved by: Site Manager</t>
        </is>
      </c>
      <c r="E2" s="857" t="n"/>
      <c r="F2" s="558" t="inlineStr">
        <is>
          <t>Reference: ORD003 Product Order Handling</t>
        </is>
      </c>
      <c r="G2" s="856" t="n"/>
      <c r="H2" s="857" t="n"/>
      <c r="T2" s="46" t="n"/>
      <c r="U2" s="46" t="n"/>
      <c r="V2" s="46" t="n"/>
      <c r="W2" s="46" t="n"/>
      <c r="X2" s="46" t="n"/>
      <c r="Y2" s="46" t="n"/>
      <c r="Z2" s="46" t="n"/>
      <c r="AA2" s="46" t="n"/>
      <c r="AB2" s="46" t="n"/>
      <c r="AC2" s="46" t="n"/>
      <c r="AD2" s="46" t="n"/>
      <c r="AE2" s="46" t="n"/>
      <c r="AF2" s="46" t="n"/>
      <c r="AG2" s="46" t="n"/>
      <c r="AH2" s="46" t="n"/>
      <c r="AI2" s="46" t="n"/>
      <c r="AJ2" s="46" t="n"/>
      <c r="AK2" s="46" t="n"/>
      <c r="AL2" s="46" t="n"/>
      <c r="AM2" s="46" t="n"/>
      <c r="AN2" s="46" t="n"/>
      <c r="AO2" s="46" t="n"/>
      <c r="AP2" s="46" t="n"/>
      <c r="AQ2" s="46" t="n"/>
      <c r="AR2" s="46" t="n"/>
      <c r="AS2" s="46" t="n"/>
      <c r="AT2" s="46" t="n"/>
      <c r="AU2" s="46" t="n"/>
      <c r="AV2" s="46" t="n"/>
      <c r="AW2" s="46" t="n"/>
      <c r="AX2" s="46" t="n"/>
      <c r="AY2" s="46" t="n"/>
      <c r="AZ2" s="46" t="n"/>
      <c r="BA2" s="46" t="n"/>
      <c r="BB2" s="46" t="n"/>
      <c r="BC2" s="46" t="n"/>
      <c r="BD2" s="46" t="n"/>
      <c r="BE2" s="46" t="n"/>
      <c r="BF2" s="46" t="n"/>
      <c r="BG2" s="46" t="n"/>
      <c r="BH2" s="46" t="n"/>
      <c r="BI2" s="46" t="n"/>
      <c r="BJ2" s="46" t="n"/>
      <c r="BK2" s="46" t="n"/>
      <c r="BL2" s="46" t="n"/>
      <c r="BM2" s="46" t="n"/>
      <c r="BN2" s="46" t="n"/>
      <c r="BO2" s="46" t="n"/>
      <c r="BQ2" s="47" t="n"/>
      <c r="BR2" s="47" t="n"/>
      <c r="BS2" s="47" t="n"/>
      <c r="BT2" s="47" t="n"/>
      <c r="BU2" s="47" t="n"/>
      <c r="BV2" s="47" t="n"/>
      <c r="BW2" s="47" t="n"/>
      <c r="BX2" s="47" t="n"/>
      <c r="BY2" s="47" t="n"/>
      <c r="BZ2" s="47" t="n"/>
      <c r="CA2" s="47" t="n"/>
      <c r="CB2" s="47" t="n"/>
      <c r="CC2" s="47" t="n"/>
      <c r="CD2" s="47" t="n"/>
    </row>
    <row r="3" ht="2.25" customHeight="1">
      <c r="A3" s="48" t="n"/>
      <c r="B3" s="48" t="n"/>
      <c r="C3" s="48" t="n"/>
      <c r="D3" s="566" t="n"/>
    </row>
    <row r="4" ht="2.25" customHeight="1">
      <c r="C4" s="50" t="n"/>
    </row>
    <row r="5" ht="2.25" customHeight="1">
      <c r="C5" s="50" t="n"/>
    </row>
    <row r="6" ht="12.75" customHeight="1">
      <c r="A6" s="51" t="inlineStr">
        <is>
          <t xml:space="preserve">Production Line: </t>
        </is>
      </c>
      <c r="B6" s="52">
        <f>IF(ProductionLineNumber&lt;&gt;0,ProductionLineNumber,"")</f>
        <v/>
      </c>
      <c r="C6" s="50" t="n"/>
    </row>
    <row r="7" ht="12.75" customHeight="1">
      <c r="A7" s="51" t="inlineStr">
        <is>
          <t>JOB#:</t>
        </is>
      </c>
      <c r="B7" s="52">
        <f>IF(JobNumber&lt;&gt;0,JobNumber,"")</f>
        <v/>
      </c>
      <c r="C7" s="50" t="n"/>
      <c r="D7" s="53" t="n"/>
    </row>
    <row r="8" ht="12.75" customHeight="1">
      <c r="A8" s="51" t="inlineStr">
        <is>
          <t>LOT#:</t>
        </is>
      </c>
      <c r="B8" s="52">
        <f>IF(LotOrCampaignNumber&lt;&gt;0,LotOrCampaignNumber,"")</f>
        <v/>
      </c>
      <c r="C8" s="50" t="n"/>
    </row>
    <row r="9" ht="12.75" customHeight="1">
      <c r="A9" s="51" t="inlineStr">
        <is>
          <t xml:space="preserve">   Product Type: </t>
        </is>
      </c>
      <c r="B9" s="52">
        <f>IF(GradeColor&lt;&gt;0,GradeColor,"")</f>
        <v/>
      </c>
      <c r="D9" s="51" t="n"/>
      <c r="E9" s="50" t="n"/>
    </row>
    <row r="10" ht="12.75" customHeight="1">
      <c r="A10" s="51" t="inlineStr">
        <is>
          <t>Amount Scheduled:</t>
        </is>
      </c>
      <c r="B10" s="52">
        <f>IF(ScheduledAmount&lt;&gt;0,ScheduledAmount,"")</f>
        <v/>
      </c>
    </row>
    <row r="11" ht="12.75" customHeight="1">
      <c r="A11" s="51" t="n"/>
      <c r="B11" s="50" t="n"/>
    </row>
    <row r="12" ht="12.75" customHeight="1">
      <c r="A12" s="54" t="inlineStr">
        <is>
          <t>Changeover &amp; Verification</t>
        </is>
      </c>
      <c r="B12" s="50" t="n"/>
      <c r="D12" s="55" t="inlineStr">
        <is>
          <t>C/O code</t>
        </is>
      </c>
      <c r="E12" s="570" t="inlineStr">
        <is>
          <t>Determined by</t>
        </is>
      </c>
      <c r="F12" s="859" t="n"/>
      <c r="G12" s="570" t="inlineStr">
        <is>
          <t>Checked By</t>
        </is>
      </c>
      <c r="H12" s="859" t="n"/>
    </row>
    <row r="13" ht="14.5" customHeight="1" thickBot="1">
      <c r="A13" s="860" t="inlineStr">
        <is>
          <t xml:space="preserve"> Plan Changeover and determine code: </t>
        </is>
      </c>
      <c r="B13" s="856" t="n"/>
      <c r="C13" s="857" t="n"/>
      <c r="D13" s="56">
        <f>IF(ChangeoverCode&lt;&gt;0,ChangeoverCode,"")</f>
        <v/>
      </c>
      <c r="E13" s="861">
        <f>IF(AuthorName&lt;&gt;0,AuthorName,"")</f>
        <v/>
      </c>
      <c r="F13" s="862" t="n"/>
      <c r="G13" s="57" t="n"/>
      <c r="H13" s="612" t="n"/>
    </row>
    <row r="14" ht="14" customHeight="1">
      <c r="A14" s="56" t="inlineStr">
        <is>
          <t xml:space="preserve"> Review Changeover code at Job issue; Update required? </t>
        </is>
      </c>
      <c r="B14" s="856" t="n"/>
      <c r="C14" s="857" t="n"/>
      <c r="D14" s="59" t="n"/>
      <c r="E14" s="60" t="n"/>
      <c r="F14" s="61" t="n"/>
      <c r="G14" s="863" t="n"/>
      <c r="H14" s="864" t="n"/>
    </row>
    <row r="15" ht="17.25" customHeight="1">
      <c r="A15" s="865" t="inlineStr">
        <is>
          <t xml:space="preserve"> If different from C/O code at job preparation, why?</t>
        </is>
      </c>
      <c r="B15" s="441" t="n"/>
      <c r="C15" s="441" t="n"/>
      <c r="D15" s="441" t="n"/>
      <c r="E15" s="441" t="n"/>
      <c r="F15" s="441" t="n"/>
      <c r="G15" s="441" t="n"/>
      <c r="H15" s="442" t="n"/>
    </row>
    <row r="16" ht="15" customHeight="1">
      <c r="A16" s="62" t="n"/>
      <c r="B16" s="62" t="n"/>
      <c r="C16" s="62" t="n"/>
      <c r="D16" s="62" t="n"/>
      <c r="E16" s="580" t="n"/>
      <c r="F16" s="437" t="n"/>
      <c r="G16" s="437" t="n"/>
      <c r="H16" s="437" t="n"/>
    </row>
    <row r="17" ht="15" customHeight="1">
      <c r="A17" s="63" t="inlineStr">
        <is>
          <t>Job Paperwork Preparation &amp; Verification</t>
        </is>
      </c>
      <c r="B17" s="64" t="n"/>
      <c r="C17" s="64" t="n"/>
      <c r="D17" s="65" t="n"/>
      <c r="E17" s="581" t="inlineStr">
        <is>
          <t>Prepared By</t>
        </is>
      </c>
      <c r="F17" s="441" t="n"/>
      <c r="G17" s="581" t="inlineStr">
        <is>
          <t>Checked by</t>
        </is>
      </c>
      <c r="H17" s="441" t="n"/>
      <c r="I17" s="566" t="n"/>
    </row>
    <row r="18" ht="14" customHeight="1">
      <c r="A18" s="66" t="inlineStr">
        <is>
          <t>1. Lot# Matches Production Schedule for Line# and Amount to Produce</t>
        </is>
      </c>
      <c r="B18" s="67" t="n"/>
      <c r="C18" s="67" t="n"/>
      <c r="D18" s="67" t="n"/>
      <c r="E18" s="866">
        <f>IF(AttestJobMatchesSched&lt;&gt;0,AttestJobMatchesSched,"")</f>
        <v/>
      </c>
      <c r="F18" s="859" t="n"/>
      <c r="G18" s="568" t="n"/>
      <c r="H18" s="859" t="n"/>
      <c r="K18" s="68" t="n"/>
    </row>
    <row r="19" ht="13" customHeight="1">
      <c r="A19" s="66" t="inlineStr">
        <is>
          <t>2. Job packet Deviations / Waiver match Production Schedule.</t>
        </is>
      </c>
      <c r="B19" s="67" t="n"/>
      <c r="C19" s="67" t="n"/>
      <c r="D19" s="69" t="n"/>
      <c r="E19" s="866">
        <f>IF(AttestDeviationsMatchSched&lt;&gt;0,AttestDeviationsMatchSched,"")</f>
        <v/>
      </c>
      <c r="F19" s="859" t="n"/>
      <c r="G19" s="866" t="n"/>
      <c r="H19" s="859" t="n"/>
      <c r="K19" s="653" t="n"/>
    </row>
    <row r="20" ht="24.4" customHeight="1">
      <c r="A20" s="867" t="inlineStr">
        <is>
          <t>3. Determine feeder selection. Record feeder assignments on DOD/BOM (including preblend feeder).</t>
        </is>
      </c>
      <c r="B20" s="856" t="n"/>
      <c r="C20" s="856" t="n"/>
      <c r="D20" s="857" t="n"/>
      <c r="E20" s="834">
        <f>IF(AckFdrAssignmentOnOD&lt;&gt;0,AckFdrAssignmentOnOD,"")</f>
        <v/>
      </c>
      <c r="F20" s="857" t="n"/>
      <c r="G20" s="834" t="n"/>
      <c r="H20" s="857" t="n"/>
      <c r="K20" s="653" t="n"/>
    </row>
    <row r="21" ht="24.4" customHeight="1">
      <c r="A21" s="868" t="inlineStr">
        <is>
          <t xml:space="preserve">4. Prepare Parameter Specification Sheet using Informant program. Use parameter worksheet from Job packet Maker as tool to complete sheet. </t>
        </is>
      </c>
      <c r="B21" s="856" t="n"/>
      <c r="C21" s="856" t="n"/>
      <c r="D21" s="857" t="n"/>
      <c r="E21" s="866" t="n"/>
      <c r="F21" s="859" t="n"/>
      <c r="G21" s="575" t="n"/>
      <c r="K21" s="653" t="n"/>
    </row>
    <row r="22" ht="13.5" customHeight="1">
      <c r="A22" s="869" t="inlineStr">
        <is>
          <t>5. Print Parameter Specification Sheet using Informant</t>
        </is>
      </c>
      <c r="B22" s="856" t="n"/>
      <c r="C22" s="856" t="n"/>
      <c r="D22" s="857" t="n"/>
      <c r="E22" s="834" t="n"/>
      <c r="F22" s="857" t="n"/>
      <c r="G22" s="575" t="n"/>
      <c r="K22" s="653" t="n"/>
    </row>
    <row r="23" ht="36.75" customHeight="1">
      <c r="A23" s="870" t="inlineStr">
        <is>
          <t>6. Raw materials (include R# and/or lot if call out) listed DOD/BOM, Deviation, and/or Waivers appear properly on the Job Packet Worksheet, Production Inventory Planner, Parameter Specification Sheet, Blend Logs, and Feeder Logs.</t>
        </is>
      </c>
      <c r="B23" s="856" t="n"/>
      <c r="C23" s="856" t="n"/>
      <c r="D23" s="857" t="n"/>
      <c r="E23" s="834" t="n"/>
      <c r="F23" s="857" t="n"/>
      <c r="G23" s="834" t="n"/>
      <c r="H23" s="857" t="n"/>
    </row>
    <row r="24" ht="25.5" customHeight="1">
      <c r="A24" s="598" t="inlineStr">
        <is>
          <t>7. Record the total parts for all Raw Materials listed on the DOD/BOM _________ Verify the total parts equals "sum of all parts" shown on Job Packet Worksheet.</t>
        </is>
      </c>
      <c r="B24" s="856" t="n"/>
      <c r="C24" s="856" t="n"/>
      <c r="D24" s="857" t="n"/>
      <c r="E24" s="871" t="n"/>
      <c r="F24" s="857" t="n"/>
      <c r="G24" s="866" t="n"/>
      <c r="H24" s="859" t="n"/>
      <c r="K24" s="653" t="n"/>
    </row>
    <row r="25" ht="21.75" customHeight="1">
      <c r="A25" s="598" t="inlineStr">
        <is>
          <t>8. For each feeder listed on the DOD/BOM (see #3 above), verify that the parts agree with parts listed on the Job Packet Worksheet (place tick marks on both)</t>
        </is>
      </c>
      <c r="B25" s="856" t="n"/>
      <c r="C25" s="856" t="n"/>
      <c r="D25" s="857" t="n"/>
      <c r="E25" s="866" t="n"/>
      <c r="F25" s="859" t="n"/>
      <c r="G25" s="866" t="n"/>
      <c r="H25" s="859" t="n"/>
      <c r="K25" s="653" t="n"/>
    </row>
    <row r="26" ht="33.75" customHeight="1">
      <c r="A26" s="598" t="inlineStr">
        <is>
          <t>9. For each feeder listed on the Job Packet Worksheet, verify that the feeder %  agrees with the feeder % listed on the Parameter Specification Sheet (place tick marks on both)</t>
        </is>
      </c>
      <c r="B26" s="856" t="n"/>
      <c r="C26" s="856" t="n"/>
      <c r="D26" s="857" t="n"/>
      <c r="E26" s="866" t="n"/>
      <c r="F26" s="859" t="n"/>
      <c r="G26" s="866" t="n"/>
      <c r="H26" s="859" t="n"/>
      <c r="K26" s="653" t="n"/>
    </row>
    <row r="27" ht="15" customHeight="1">
      <c r="A27" s="70" t="inlineStr">
        <is>
          <t>10. Total and record the Feeder % on the Parameter Specification Sheet.</t>
        </is>
      </c>
      <c r="B27" s="71" t="n"/>
      <c r="C27" s="71" t="n"/>
      <c r="D27" s="72" t="n"/>
      <c r="E27" s="567" t="n"/>
      <c r="F27" s="568" t="n"/>
      <c r="G27" s="567" t="n"/>
      <c r="H27" s="568" t="n"/>
      <c r="K27" s="653" t="n"/>
    </row>
    <row r="28" ht="12" customHeight="1">
      <c r="A28" s="75" t="inlineStr">
        <is>
          <t xml:space="preserve">     Total Feeder % must equal 100.00</t>
        </is>
      </c>
      <c r="B28" s="76" t="n"/>
      <c r="C28" s="77" t="n"/>
      <c r="D28" s="78" t="n"/>
      <c r="E28" s="79" t="n"/>
      <c r="F28" s="579" t="n"/>
      <c r="G28" s="79" t="n"/>
      <c r="H28" s="579" t="n"/>
      <c r="K28" s="68" t="n"/>
    </row>
    <row r="29" ht="33.75" customHeight="1">
      <c r="A29" s="867" t="inlineStr">
        <is>
          <t>11. Record Staged Receivers listed on the Production Inventory Planner on the Blend Logs and Feeder Logs. Verify all Items on the PIP are listed on the BOM/Deviation/waivers in the Job Packet. Items on the PIP must match exactly.</t>
        </is>
      </c>
      <c r="B29" s="856" t="n"/>
      <c r="C29" s="856" t="n"/>
      <c r="D29" s="857" t="n"/>
      <c r="E29" s="866" t="n"/>
      <c r="F29" s="859" t="n"/>
      <c r="G29" s="866" t="n"/>
      <c r="H29" s="859" t="n"/>
      <c r="K29" s="653" t="n"/>
    </row>
    <row r="30" ht="13" customHeight="1">
      <c r="A30" s="872" t="inlineStr">
        <is>
          <t>12. Review and record Mytex Specified Parameters from BOM.</t>
        </is>
      </c>
      <c r="B30" s="437" t="n"/>
      <c r="C30" s="437" t="n"/>
      <c r="D30" s="859" t="n"/>
      <c r="E30" s="873" t="n"/>
      <c r="F30" s="859" t="n"/>
      <c r="G30" s="575" t="n"/>
      <c r="K30" s="653" t="n"/>
    </row>
    <row r="31" ht="12.75" customHeight="1">
      <c r="A31" s="81" t="inlineStr">
        <is>
          <t>a.Target Job #</t>
        </is>
      </c>
      <c r="B31" s="82" t="n"/>
      <c r="C31" s="82" t="n"/>
      <c r="D31" s="533" t="n"/>
      <c r="E31" s="854" t="n"/>
      <c r="F31" s="528" t="n"/>
      <c r="G31" s="834" t="n"/>
      <c r="H31" s="857" t="n"/>
      <c r="K31" s="653" t="n"/>
    </row>
    <row r="32" ht="12.75" customHeight="1">
      <c r="A32" s="81" t="inlineStr">
        <is>
          <t>b.Rate</t>
        </is>
      </c>
      <c r="B32" s="82" t="n"/>
      <c r="C32" s="82" t="n"/>
      <c r="D32" s="84">
        <f>IF(LineRateLbsPerHour&lt;&gt;0,LineRateLbsPerHour,"")</f>
        <v/>
      </c>
      <c r="E32" s="854" t="n"/>
      <c r="F32" s="528" t="n"/>
      <c r="G32" s="834" t="n"/>
      <c r="H32" s="857" t="n"/>
      <c r="K32" s="653" t="n"/>
    </row>
    <row r="33" ht="12.75" customHeight="1">
      <c r="A33" s="81" t="inlineStr">
        <is>
          <t>c.Screenpack</t>
        </is>
      </c>
      <c r="B33" s="82" t="n"/>
      <c r="C33" s="82" t="n"/>
      <c r="D33" s="533">
        <f>IF(Screenpack&lt;&gt;0,Screenpack,"")</f>
        <v/>
      </c>
      <c r="E33" s="854" t="n"/>
      <c r="F33" s="528" t="n"/>
      <c r="G33" s="834" t="n"/>
      <c r="H33" s="857" t="n"/>
      <c r="K33" s="653" t="n"/>
    </row>
    <row r="34" ht="12.75" customHeight="1">
      <c r="A34" s="81" t="inlineStr">
        <is>
          <t>d.Screw design</t>
        </is>
      </c>
      <c r="B34" s="82" t="n"/>
      <c r="C34" s="82" t="n"/>
      <c r="D34" s="533">
        <f>IF(ScrewDesign&lt;&gt;0,ScrewDesign,"")</f>
        <v/>
      </c>
      <c r="E34" s="854" t="n"/>
      <c r="F34" s="528" t="n"/>
      <c r="G34" s="834" t="n"/>
      <c r="H34" s="857" t="n"/>
      <c r="K34" s="653" t="n"/>
    </row>
    <row r="35" ht="12.75" customHeight="1">
      <c r="A35" s="81" t="inlineStr">
        <is>
          <t>e.Pellet type</t>
        </is>
      </c>
      <c r="B35" s="82" t="n"/>
      <c r="C35" s="82" t="n"/>
      <c r="D35" s="533">
        <f>IF(PelletTypeUWorSC&lt;&gt;0,PelletTypeUWorSC,"")</f>
        <v/>
      </c>
      <c r="E35" s="854" t="n"/>
      <c r="F35" s="528" t="n"/>
      <c r="G35" s="834" t="n"/>
      <c r="H35" s="857" t="n"/>
      <c r="K35" s="653" t="n"/>
    </row>
    <row r="36" ht="12.75" customHeight="1">
      <c r="A36" s="81" t="inlineStr">
        <is>
          <t>f.Recycle Constraints</t>
        </is>
      </c>
      <c r="B36" s="82" t="n"/>
      <c r="C36" s="82" t="n"/>
      <c r="D36" s="85">
        <f>IF(RecycleConstraintPercent&lt;&gt;0,RecycleConstraintPercent,"")</f>
        <v/>
      </c>
      <c r="E36" s="854" t="n"/>
      <c r="F36" s="528" t="n"/>
      <c r="G36" s="834" t="n"/>
      <c r="H36" s="857" t="n"/>
      <c r="K36" s="653" t="n"/>
    </row>
    <row r="37" ht="12.75" customHeight="1">
      <c r="A37" s="86" t="inlineStr">
        <is>
          <t>g.Line type</t>
        </is>
      </c>
      <c r="B37" s="87" t="n"/>
      <c r="C37" s="87" t="n"/>
      <c r="D37" s="533">
        <f>IF(MixerTypeTSorFCM&lt;&gt;0,MixerTypeTSorFCM,"")</f>
        <v/>
      </c>
      <c r="E37" s="474" t="n"/>
      <c r="F37" s="442" t="n"/>
      <c r="G37" s="834" t="n"/>
      <c r="H37" s="857" t="n"/>
      <c r="K37" s="653" t="n"/>
    </row>
    <row r="38" ht="30" customHeight="1">
      <c r="A38" s="874" t="inlineStr">
        <is>
          <t>13. The Parameter Specification Sheet is correct and the "Prepared by" section is signed by person that prepared the Parameter Specification Sheet.</t>
        </is>
      </c>
      <c r="B38" s="437" t="n"/>
      <c r="C38" s="437" t="n"/>
      <c r="D38" s="859" t="n"/>
      <c r="E38" s="875" t="n"/>
      <c r="F38" s="859" t="n"/>
      <c r="G38" s="866" t="n"/>
      <c r="H38" s="859" t="n"/>
    </row>
    <row r="39" ht="32.25" customHeight="1">
      <c r="A39" s="874" t="inlineStr">
        <is>
          <t>14. The Parameter Specification Sheet is correct and the "Checked By" section is signed by the person that checked the Parameter Specification Sheet.</t>
        </is>
      </c>
      <c r="B39" s="437" t="n"/>
      <c r="C39" s="437" t="n"/>
      <c r="D39" s="859" t="n"/>
      <c r="E39" s="875" t="n"/>
      <c r="F39" s="859" t="n"/>
      <c r="G39" s="866" t="n"/>
      <c r="H39" s="859" t="n"/>
    </row>
    <row r="40" ht="32.25" customHeight="1">
      <c r="A40" s="876" t="inlineStr">
        <is>
          <t>15. The Job Packet is complete and includes all required documents. The front page is signed and dated by the individual that prepared the Job Packet.</t>
        </is>
      </c>
      <c r="B40" s="856" t="n"/>
      <c r="C40" s="856" t="n"/>
      <c r="D40" s="857" t="n"/>
      <c r="E40" s="875" t="n"/>
      <c r="F40" s="859" t="n"/>
      <c r="G40" s="834" t="n"/>
      <c r="H40" s="857" t="n"/>
    </row>
    <row r="41" ht="32.25" customHeight="1">
      <c r="A41" s="876" t="inlineStr">
        <is>
          <t>16. Package Labels are prepared according to DOD/BOM (preparer to sign extra label). Verify that labels were prepared properly according to DOD/BOM.</t>
        </is>
      </c>
      <c r="B41" s="856" t="n"/>
      <c r="C41" s="856" t="n"/>
      <c r="D41" s="857" t="n"/>
      <c r="E41" s="875" t="n"/>
      <c r="F41" s="859" t="n"/>
      <c r="G41" s="834" t="n"/>
      <c r="H41" s="857" t="n"/>
    </row>
    <row r="42" ht="24.4" customHeight="1"/>
  </sheetData>
  <sheetProtection selectLockedCells="1" selectUnlockedCells="0" sheet="1" objects="1" insertRows="1" insertHyperlinks="1" autoFilter="1" scenarios="1" formatColumns="1" deleteColumns="1" insertColumns="1" pivotTables="1" deleteRows="1" formatCells="1" formatRows="1" sort="1"/>
  <mergeCells count="67">
    <mergeCell ref="A40:D40"/>
    <mergeCell ref="E40:F40"/>
    <mergeCell ref="G40:H40"/>
    <mergeCell ref="A41:D41"/>
    <mergeCell ref="E41:F41"/>
    <mergeCell ref="G41:H41"/>
    <mergeCell ref="A38:D38"/>
    <mergeCell ref="E38:F38"/>
    <mergeCell ref="G38:H38"/>
    <mergeCell ref="A39:D39"/>
    <mergeCell ref="E39:F39"/>
    <mergeCell ref="G39:H39"/>
    <mergeCell ref="A30:D30"/>
    <mergeCell ref="E30:F37"/>
    <mergeCell ref="G30:H30"/>
    <mergeCell ref="G31:H31"/>
    <mergeCell ref="G32:H32"/>
    <mergeCell ref="G33:H33"/>
    <mergeCell ref="G34:H34"/>
    <mergeCell ref="G35:H35"/>
    <mergeCell ref="G36:H36"/>
    <mergeCell ref="G37:H37"/>
    <mergeCell ref="A26:D26"/>
    <mergeCell ref="E26:F26"/>
    <mergeCell ref="G26:H26"/>
    <mergeCell ref="A29:D29"/>
    <mergeCell ref="E29:F29"/>
    <mergeCell ref="G29:H29"/>
    <mergeCell ref="A24:D24"/>
    <mergeCell ref="E24:F24"/>
    <mergeCell ref="G24:H24"/>
    <mergeCell ref="A25:D25"/>
    <mergeCell ref="E25:F25"/>
    <mergeCell ref="G25:H25"/>
    <mergeCell ref="A22:D22"/>
    <mergeCell ref="E22:F22"/>
    <mergeCell ref="G22:H22"/>
    <mergeCell ref="A23:D23"/>
    <mergeCell ref="E23:F23"/>
    <mergeCell ref="G23:H23"/>
    <mergeCell ref="A21:D21"/>
    <mergeCell ref="E21:F21"/>
    <mergeCell ref="G21:H21"/>
    <mergeCell ref="A15:H15"/>
    <mergeCell ref="E16:H16"/>
    <mergeCell ref="E17:F17"/>
    <mergeCell ref="G17:H17"/>
    <mergeCell ref="E19:F19"/>
    <mergeCell ref="G19:H19"/>
    <mergeCell ref="A20:D20"/>
    <mergeCell ref="E20:F20"/>
    <mergeCell ref="G20:H20"/>
    <mergeCell ref="I17:J17"/>
    <mergeCell ref="E18:F18"/>
    <mergeCell ref="G18:H18"/>
    <mergeCell ref="E12:F12"/>
    <mergeCell ref="G12:H12"/>
    <mergeCell ref="A13:C13"/>
    <mergeCell ref="E13:F13"/>
    <mergeCell ref="A14:C14"/>
    <mergeCell ref="G14:H14"/>
    <mergeCell ref="A1:C1"/>
    <mergeCell ref="E1:F1"/>
    <mergeCell ref="G1:H1"/>
    <mergeCell ref="A2:C2"/>
    <mergeCell ref="D2:E2"/>
    <mergeCell ref="F2:H2"/>
  </mergeCells>
  <printOptions horizontalCentered="1"/>
  <pageMargins left="0.25" right="0.25" top="0.47" bottom="0" header="0.5" footer="0"/>
  <pageSetup orientation="portrait"/>
  <headerFooter alignWithMargins="0">
    <oddHeader/>
    <oddFooter>&amp;LNETWORK ADDRESS:  _x000a_MPCI data\Forms\_x000a_Production_Operation Forms&amp;RRETENTION REQUIREMENT:_x000a_Maintained by Operations in the_x000a_Job packet for 3 years</oddFooter>
    <evenHeader/>
    <evenFooter/>
    <firstHeader/>
    <firstFooter/>
  </headerFooter>
</worksheet>
</file>

<file path=xl/worksheets/sheet4.xml><?xml version="1.0" encoding="utf-8"?>
<worksheet xmlns="http://schemas.openxmlformats.org/spreadsheetml/2006/main">
  <sheetPr codeName="Sheet5">
    <outlinePr summaryBelow="1" summaryRight="1"/>
    <pageSetUpPr fitToPage="1"/>
  </sheetPr>
  <dimension ref="A1:CC75"/>
  <sheetViews>
    <sheetView showGridLines="0" view="pageBreakPreview" zoomScale="85" zoomScaleNormal="70" zoomScaleSheetLayoutView="85" workbookViewId="0">
      <selection activeCell="F16" sqref="F16"/>
    </sheetView>
  </sheetViews>
  <sheetFormatPr baseColWidth="8" defaultRowHeight="12.5"/>
  <cols>
    <col width="2" customWidth="1" style="662" min="1" max="1"/>
    <col width="2.1796875" customWidth="1" style="662" min="2" max="2"/>
    <col width="10.54296875" customWidth="1" style="180" min="3" max="3"/>
    <col width="24.54296875" customWidth="1" style="662" min="4" max="4"/>
    <col width="6.54296875" customWidth="1" style="662" min="5" max="5"/>
    <col width="11.81640625" customWidth="1" style="662" min="6" max="6"/>
    <col width="2.54296875" customWidth="1" style="662" min="7" max="7"/>
    <col width="17.54296875" customWidth="1" style="662" min="8" max="8"/>
    <col width="10.54296875" customWidth="1" style="662" min="9" max="10"/>
    <col width="2.453125" customWidth="1" style="662" min="11" max="11"/>
    <col width="10.54296875" customWidth="1" style="662" min="12" max="13"/>
    <col width="2.453125" customWidth="1" style="662" min="14" max="14"/>
    <col width="10.54296875" customWidth="1" style="662" min="15" max="16"/>
    <col width="1.1796875" customWidth="1" style="662" min="17" max="17"/>
    <col width="9.1796875" customWidth="1" style="662" min="18" max="256"/>
    <col width="2" customWidth="1" style="662" min="257" max="257"/>
    <col width="2.1796875" customWidth="1" style="662" min="258" max="258"/>
    <col width="10.54296875" customWidth="1" style="662" min="259" max="259"/>
    <col width="24.54296875" customWidth="1" style="662" min="260" max="260"/>
    <col width="6.54296875" customWidth="1" style="662" min="261" max="261"/>
    <col width="11.81640625" customWidth="1" style="662" min="262" max="262"/>
    <col width="2.54296875" customWidth="1" style="662" min="263" max="263"/>
    <col width="17.54296875" customWidth="1" style="662" min="264" max="264"/>
    <col width="10.54296875" customWidth="1" style="662" min="265" max="266"/>
    <col width="2.453125" customWidth="1" style="662" min="267" max="267"/>
    <col width="10.54296875" customWidth="1" style="662" min="268" max="269"/>
    <col width="2.453125" customWidth="1" style="662" min="270" max="270"/>
    <col width="10.54296875" customWidth="1" style="662" min="271" max="272"/>
    <col width="1.1796875" customWidth="1" style="662" min="273" max="273"/>
    <col width="9.1796875" customWidth="1" style="662" min="274" max="512"/>
    <col width="2" customWidth="1" style="662" min="513" max="513"/>
    <col width="2.1796875" customWidth="1" style="662" min="514" max="514"/>
    <col width="10.54296875" customWidth="1" style="662" min="515" max="515"/>
    <col width="24.54296875" customWidth="1" style="662" min="516" max="516"/>
    <col width="6.54296875" customWidth="1" style="662" min="517" max="517"/>
    <col width="11.81640625" customWidth="1" style="662" min="518" max="518"/>
    <col width="2.54296875" customWidth="1" style="662" min="519" max="519"/>
    <col width="17.54296875" customWidth="1" style="662" min="520" max="520"/>
    <col width="10.54296875" customWidth="1" style="662" min="521" max="522"/>
    <col width="2.453125" customWidth="1" style="662" min="523" max="523"/>
    <col width="10.54296875" customWidth="1" style="662" min="524" max="525"/>
    <col width="2.453125" customWidth="1" style="662" min="526" max="526"/>
    <col width="10.54296875" customWidth="1" style="662" min="527" max="528"/>
    <col width="1.1796875" customWidth="1" style="662" min="529" max="529"/>
    <col width="9.1796875" customWidth="1" style="662" min="530" max="768"/>
    <col width="2" customWidth="1" style="662" min="769" max="769"/>
    <col width="2.1796875" customWidth="1" style="662" min="770" max="770"/>
    <col width="10.54296875" customWidth="1" style="662" min="771" max="771"/>
    <col width="24.54296875" customWidth="1" style="662" min="772" max="772"/>
    <col width="6.54296875" customWidth="1" style="662" min="773" max="773"/>
    <col width="11.81640625" customWidth="1" style="662" min="774" max="774"/>
    <col width="2.54296875" customWidth="1" style="662" min="775" max="775"/>
    <col width="17.54296875" customWidth="1" style="662" min="776" max="776"/>
    <col width="10.54296875" customWidth="1" style="662" min="777" max="778"/>
    <col width="2.453125" customWidth="1" style="662" min="779" max="779"/>
    <col width="10.54296875" customWidth="1" style="662" min="780" max="781"/>
    <col width="2.453125" customWidth="1" style="662" min="782" max="782"/>
    <col width="10.54296875" customWidth="1" style="662" min="783" max="784"/>
    <col width="1.1796875" customWidth="1" style="662" min="785" max="785"/>
    <col width="9.1796875" customWidth="1" style="662" min="786" max="1024"/>
    <col width="2" customWidth="1" style="662" min="1025" max="1025"/>
    <col width="2.1796875" customWidth="1" style="662" min="1026" max="1026"/>
    <col width="10.54296875" customWidth="1" style="662" min="1027" max="1027"/>
    <col width="24.54296875" customWidth="1" style="662" min="1028" max="1028"/>
    <col width="6.54296875" customWidth="1" style="662" min="1029" max="1029"/>
    <col width="11.81640625" customWidth="1" style="662" min="1030" max="1030"/>
    <col width="2.54296875" customWidth="1" style="662" min="1031" max="1031"/>
    <col width="17.54296875" customWidth="1" style="662" min="1032" max="1032"/>
    <col width="10.54296875" customWidth="1" style="662" min="1033" max="1034"/>
    <col width="2.453125" customWidth="1" style="662" min="1035" max="1035"/>
    <col width="10.54296875" customWidth="1" style="662" min="1036" max="1037"/>
    <col width="2.453125" customWidth="1" style="662" min="1038" max="1038"/>
    <col width="10.54296875" customWidth="1" style="662" min="1039" max="1040"/>
    <col width="1.1796875" customWidth="1" style="662" min="1041" max="1041"/>
    <col width="9.1796875" customWidth="1" style="662" min="1042" max="1280"/>
    <col width="2" customWidth="1" style="662" min="1281" max="1281"/>
    <col width="2.1796875" customWidth="1" style="662" min="1282" max="1282"/>
    <col width="10.54296875" customWidth="1" style="662" min="1283" max="1283"/>
    <col width="24.54296875" customWidth="1" style="662" min="1284" max="1284"/>
    <col width="6.54296875" customWidth="1" style="662" min="1285" max="1285"/>
    <col width="11.81640625" customWidth="1" style="662" min="1286" max="1286"/>
    <col width="2.54296875" customWidth="1" style="662" min="1287" max="1287"/>
    <col width="17.54296875" customWidth="1" style="662" min="1288" max="1288"/>
    <col width="10.54296875" customWidth="1" style="662" min="1289" max="1290"/>
    <col width="2.453125" customWidth="1" style="662" min="1291" max="1291"/>
    <col width="10.54296875" customWidth="1" style="662" min="1292" max="1293"/>
    <col width="2.453125" customWidth="1" style="662" min="1294" max="1294"/>
    <col width="10.54296875" customWidth="1" style="662" min="1295" max="1296"/>
    <col width="1.1796875" customWidth="1" style="662" min="1297" max="1297"/>
    <col width="9.1796875" customWidth="1" style="662" min="1298" max="1536"/>
    <col width="2" customWidth="1" style="662" min="1537" max="1537"/>
    <col width="2.1796875" customWidth="1" style="662" min="1538" max="1538"/>
    <col width="10.54296875" customWidth="1" style="662" min="1539" max="1539"/>
    <col width="24.54296875" customWidth="1" style="662" min="1540" max="1540"/>
    <col width="6.54296875" customWidth="1" style="662" min="1541" max="1541"/>
    <col width="11.81640625" customWidth="1" style="662" min="1542" max="1542"/>
    <col width="2.54296875" customWidth="1" style="662" min="1543" max="1543"/>
    <col width="17.54296875" customWidth="1" style="662" min="1544" max="1544"/>
    <col width="10.54296875" customWidth="1" style="662" min="1545" max="1546"/>
    <col width="2.453125" customWidth="1" style="662" min="1547" max="1547"/>
    <col width="10.54296875" customWidth="1" style="662" min="1548" max="1549"/>
    <col width="2.453125" customWidth="1" style="662" min="1550" max="1550"/>
    <col width="10.54296875" customWidth="1" style="662" min="1551" max="1552"/>
    <col width="1.1796875" customWidth="1" style="662" min="1553" max="1553"/>
    <col width="9.1796875" customWidth="1" style="662" min="1554" max="1792"/>
    <col width="2" customWidth="1" style="662" min="1793" max="1793"/>
    <col width="2.1796875" customWidth="1" style="662" min="1794" max="1794"/>
    <col width="10.54296875" customWidth="1" style="662" min="1795" max="1795"/>
    <col width="24.54296875" customWidth="1" style="662" min="1796" max="1796"/>
    <col width="6.54296875" customWidth="1" style="662" min="1797" max="1797"/>
    <col width="11.81640625" customWidth="1" style="662" min="1798" max="1798"/>
    <col width="2.54296875" customWidth="1" style="662" min="1799" max="1799"/>
    <col width="17.54296875" customWidth="1" style="662" min="1800" max="1800"/>
    <col width="10.54296875" customWidth="1" style="662" min="1801" max="1802"/>
    <col width="2.453125" customWidth="1" style="662" min="1803" max="1803"/>
    <col width="10.54296875" customWidth="1" style="662" min="1804" max="1805"/>
    <col width="2.453125" customWidth="1" style="662" min="1806" max="1806"/>
    <col width="10.54296875" customWidth="1" style="662" min="1807" max="1808"/>
    <col width="1.1796875" customWidth="1" style="662" min="1809" max="1809"/>
    <col width="9.1796875" customWidth="1" style="662" min="1810" max="2048"/>
    <col width="2" customWidth="1" style="662" min="2049" max="2049"/>
    <col width="2.1796875" customWidth="1" style="662" min="2050" max="2050"/>
    <col width="10.54296875" customWidth="1" style="662" min="2051" max="2051"/>
    <col width="24.54296875" customWidth="1" style="662" min="2052" max="2052"/>
    <col width="6.54296875" customWidth="1" style="662" min="2053" max="2053"/>
    <col width="11.81640625" customWidth="1" style="662" min="2054" max="2054"/>
    <col width="2.54296875" customWidth="1" style="662" min="2055" max="2055"/>
    <col width="17.54296875" customWidth="1" style="662" min="2056" max="2056"/>
    <col width="10.54296875" customWidth="1" style="662" min="2057" max="2058"/>
    <col width="2.453125" customWidth="1" style="662" min="2059" max="2059"/>
    <col width="10.54296875" customWidth="1" style="662" min="2060" max="2061"/>
    <col width="2.453125" customWidth="1" style="662" min="2062" max="2062"/>
    <col width="10.54296875" customWidth="1" style="662" min="2063" max="2064"/>
    <col width="1.1796875" customWidth="1" style="662" min="2065" max="2065"/>
    <col width="9.1796875" customWidth="1" style="662" min="2066" max="2304"/>
    <col width="2" customWidth="1" style="662" min="2305" max="2305"/>
    <col width="2.1796875" customWidth="1" style="662" min="2306" max="2306"/>
    <col width="10.54296875" customWidth="1" style="662" min="2307" max="2307"/>
    <col width="24.54296875" customWidth="1" style="662" min="2308" max="2308"/>
    <col width="6.54296875" customWidth="1" style="662" min="2309" max="2309"/>
    <col width="11.81640625" customWidth="1" style="662" min="2310" max="2310"/>
    <col width="2.54296875" customWidth="1" style="662" min="2311" max="2311"/>
    <col width="17.54296875" customWidth="1" style="662" min="2312" max="2312"/>
    <col width="10.54296875" customWidth="1" style="662" min="2313" max="2314"/>
    <col width="2.453125" customWidth="1" style="662" min="2315" max="2315"/>
    <col width="10.54296875" customWidth="1" style="662" min="2316" max="2317"/>
    <col width="2.453125" customWidth="1" style="662" min="2318" max="2318"/>
    <col width="10.54296875" customWidth="1" style="662" min="2319" max="2320"/>
    <col width="1.1796875" customWidth="1" style="662" min="2321" max="2321"/>
    <col width="9.1796875" customWidth="1" style="662" min="2322" max="2560"/>
    <col width="2" customWidth="1" style="662" min="2561" max="2561"/>
    <col width="2.1796875" customWidth="1" style="662" min="2562" max="2562"/>
    <col width="10.54296875" customWidth="1" style="662" min="2563" max="2563"/>
    <col width="24.54296875" customWidth="1" style="662" min="2564" max="2564"/>
    <col width="6.54296875" customWidth="1" style="662" min="2565" max="2565"/>
    <col width="11.81640625" customWidth="1" style="662" min="2566" max="2566"/>
    <col width="2.54296875" customWidth="1" style="662" min="2567" max="2567"/>
    <col width="17.54296875" customWidth="1" style="662" min="2568" max="2568"/>
    <col width="10.54296875" customWidth="1" style="662" min="2569" max="2570"/>
    <col width="2.453125" customWidth="1" style="662" min="2571" max="2571"/>
    <col width="10.54296875" customWidth="1" style="662" min="2572" max="2573"/>
    <col width="2.453125" customWidth="1" style="662" min="2574" max="2574"/>
    <col width="10.54296875" customWidth="1" style="662" min="2575" max="2576"/>
    <col width="1.1796875" customWidth="1" style="662" min="2577" max="2577"/>
    <col width="9.1796875" customWidth="1" style="662" min="2578" max="2816"/>
    <col width="2" customWidth="1" style="662" min="2817" max="2817"/>
    <col width="2.1796875" customWidth="1" style="662" min="2818" max="2818"/>
    <col width="10.54296875" customWidth="1" style="662" min="2819" max="2819"/>
    <col width="24.54296875" customWidth="1" style="662" min="2820" max="2820"/>
    <col width="6.54296875" customWidth="1" style="662" min="2821" max="2821"/>
    <col width="11.81640625" customWidth="1" style="662" min="2822" max="2822"/>
    <col width="2.54296875" customWidth="1" style="662" min="2823" max="2823"/>
    <col width="17.54296875" customWidth="1" style="662" min="2824" max="2824"/>
    <col width="10.54296875" customWidth="1" style="662" min="2825" max="2826"/>
    <col width="2.453125" customWidth="1" style="662" min="2827" max="2827"/>
    <col width="10.54296875" customWidth="1" style="662" min="2828" max="2829"/>
    <col width="2.453125" customWidth="1" style="662" min="2830" max="2830"/>
    <col width="10.54296875" customWidth="1" style="662" min="2831" max="2832"/>
    <col width="1.1796875" customWidth="1" style="662" min="2833" max="2833"/>
    <col width="9.1796875" customWidth="1" style="662" min="2834" max="3072"/>
    <col width="2" customWidth="1" style="662" min="3073" max="3073"/>
    <col width="2.1796875" customWidth="1" style="662" min="3074" max="3074"/>
    <col width="10.54296875" customWidth="1" style="662" min="3075" max="3075"/>
    <col width="24.54296875" customWidth="1" style="662" min="3076" max="3076"/>
    <col width="6.54296875" customWidth="1" style="662" min="3077" max="3077"/>
    <col width="11.81640625" customWidth="1" style="662" min="3078" max="3078"/>
    <col width="2.54296875" customWidth="1" style="662" min="3079" max="3079"/>
    <col width="17.54296875" customWidth="1" style="662" min="3080" max="3080"/>
    <col width="10.54296875" customWidth="1" style="662" min="3081" max="3082"/>
    <col width="2.453125" customWidth="1" style="662" min="3083" max="3083"/>
    <col width="10.54296875" customWidth="1" style="662" min="3084" max="3085"/>
    <col width="2.453125" customWidth="1" style="662" min="3086" max="3086"/>
    <col width="10.54296875" customWidth="1" style="662" min="3087" max="3088"/>
    <col width="1.1796875" customWidth="1" style="662" min="3089" max="3089"/>
    <col width="9.1796875" customWidth="1" style="662" min="3090" max="3328"/>
    <col width="2" customWidth="1" style="662" min="3329" max="3329"/>
    <col width="2.1796875" customWidth="1" style="662" min="3330" max="3330"/>
    <col width="10.54296875" customWidth="1" style="662" min="3331" max="3331"/>
    <col width="24.54296875" customWidth="1" style="662" min="3332" max="3332"/>
    <col width="6.54296875" customWidth="1" style="662" min="3333" max="3333"/>
    <col width="11.81640625" customWidth="1" style="662" min="3334" max="3334"/>
    <col width="2.54296875" customWidth="1" style="662" min="3335" max="3335"/>
    <col width="17.54296875" customWidth="1" style="662" min="3336" max="3336"/>
    <col width="10.54296875" customWidth="1" style="662" min="3337" max="3338"/>
    <col width="2.453125" customWidth="1" style="662" min="3339" max="3339"/>
    <col width="10.54296875" customWidth="1" style="662" min="3340" max="3341"/>
    <col width="2.453125" customWidth="1" style="662" min="3342" max="3342"/>
    <col width="10.54296875" customWidth="1" style="662" min="3343" max="3344"/>
    <col width="1.1796875" customWidth="1" style="662" min="3345" max="3345"/>
    <col width="9.1796875" customWidth="1" style="662" min="3346" max="3584"/>
    <col width="2" customWidth="1" style="662" min="3585" max="3585"/>
    <col width="2.1796875" customWidth="1" style="662" min="3586" max="3586"/>
    <col width="10.54296875" customWidth="1" style="662" min="3587" max="3587"/>
    <col width="24.54296875" customWidth="1" style="662" min="3588" max="3588"/>
    <col width="6.54296875" customWidth="1" style="662" min="3589" max="3589"/>
    <col width="11.81640625" customWidth="1" style="662" min="3590" max="3590"/>
    <col width="2.54296875" customWidth="1" style="662" min="3591" max="3591"/>
    <col width="17.54296875" customWidth="1" style="662" min="3592" max="3592"/>
    <col width="10.54296875" customWidth="1" style="662" min="3593" max="3594"/>
    <col width="2.453125" customWidth="1" style="662" min="3595" max="3595"/>
    <col width="10.54296875" customWidth="1" style="662" min="3596" max="3597"/>
    <col width="2.453125" customWidth="1" style="662" min="3598" max="3598"/>
    <col width="10.54296875" customWidth="1" style="662" min="3599" max="3600"/>
    <col width="1.1796875" customWidth="1" style="662" min="3601" max="3601"/>
    <col width="9.1796875" customWidth="1" style="662" min="3602" max="3840"/>
    <col width="2" customWidth="1" style="662" min="3841" max="3841"/>
    <col width="2.1796875" customWidth="1" style="662" min="3842" max="3842"/>
    <col width="10.54296875" customWidth="1" style="662" min="3843" max="3843"/>
    <col width="24.54296875" customWidth="1" style="662" min="3844" max="3844"/>
    <col width="6.54296875" customWidth="1" style="662" min="3845" max="3845"/>
    <col width="11.81640625" customWidth="1" style="662" min="3846" max="3846"/>
    <col width="2.54296875" customWidth="1" style="662" min="3847" max="3847"/>
    <col width="17.54296875" customWidth="1" style="662" min="3848" max="3848"/>
    <col width="10.54296875" customWidth="1" style="662" min="3849" max="3850"/>
    <col width="2.453125" customWidth="1" style="662" min="3851" max="3851"/>
    <col width="10.54296875" customWidth="1" style="662" min="3852" max="3853"/>
    <col width="2.453125" customWidth="1" style="662" min="3854" max="3854"/>
    <col width="10.54296875" customWidth="1" style="662" min="3855" max="3856"/>
    <col width="1.1796875" customWidth="1" style="662" min="3857" max="3857"/>
    <col width="9.1796875" customWidth="1" style="662" min="3858" max="4096"/>
    <col width="2" customWidth="1" style="662" min="4097" max="4097"/>
    <col width="2.1796875" customWidth="1" style="662" min="4098" max="4098"/>
    <col width="10.54296875" customWidth="1" style="662" min="4099" max="4099"/>
    <col width="24.54296875" customWidth="1" style="662" min="4100" max="4100"/>
    <col width="6.54296875" customWidth="1" style="662" min="4101" max="4101"/>
    <col width="11.81640625" customWidth="1" style="662" min="4102" max="4102"/>
    <col width="2.54296875" customWidth="1" style="662" min="4103" max="4103"/>
    <col width="17.54296875" customWidth="1" style="662" min="4104" max="4104"/>
    <col width="10.54296875" customWidth="1" style="662" min="4105" max="4106"/>
    <col width="2.453125" customWidth="1" style="662" min="4107" max="4107"/>
    <col width="10.54296875" customWidth="1" style="662" min="4108" max="4109"/>
    <col width="2.453125" customWidth="1" style="662" min="4110" max="4110"/>
    <col width="10.54296875" customWidth="1" style="662" min="4111" max="4112"/>
    <col width="1.1796875" customWidth="1" style="662" min="4113" max="4113"/>
    <col width="9.1796875" customWidth="1" style="662" min="4114" max="4352"/>
    <col width="2" customWidth="1" style="662" min="4353" max="4353"/>
    <col width="2.1796875" customWidth="1" style="662" min="4354" max="4354"/>
    <col width="10.54296875" customWidth="1" style="662" min="4355" max="4355"/>
    <col width="24.54296875" customWidth="1" style="662" min="4356" max="4356"/>
    <col width="6.54296875" customWidth="1" style="662" min="4357" max="4357"/>
    <col width="11.81640625" customWidth="1" style="662" min="4358" max="4358"/>
    <col width="2.54296875" customWidth="1" style="662" min="4359" max="4359"/>
    <col width="17.54296875" customWidth="1" style="662" min="4360" max="4360"/>
    <col width="10.54296875" customWidth="1" style="662" min="4361" max="4362"/>
    <col width="2.453125" customWidth="1" style="662" min="4363" max="4363"/>
    <col width="10.54296875" customWidth="1" style="662" min="4364" max="4365"/>
    <col width="2.453125" customWidth="1" style="662" min="4366" max="4366"/>
    <col width="10.54296875" customWidth="1" style="662" min="4367" max="4368"/>
    <col width="1.1796875" customWidth="1" style="662" min="4369" max="4369"/>
    <col width="9.1796875" customWidth="1" style="662" min="4370" max="4608"/>
    <col width="2" customWidth="1" style="662" min="4609" max="4609"/>
    <col width="2.1796875" customWidth="1" style="662" min="4610" max="4610"/>
    <col width="10.54296875" customWidth="1" style="662" min="4611" max="4611"/>
    <col width="24.54296875" customWidth="1" style="662" min="4612" max="4612"/>
    <col width="6.54296875" customWidth="1" style="662" min="4613" max="4613"/>
    <col width="11.81640625" customWidth="1" style="662" min="4614" max="4614"/>
    <col width="2.54296875" customWidth="1" style="662" min="4615" max="4615"/>
    <col width="17.54296875" customWidth="1" style="662" min="4616" max="4616"/>
    <col width="10.54296875" customWidth="1" style="662" min="4617" max="4618"/>
    <col width="2.453125" customWidth="1" style="662" min="4619" max="4619"/>
    <col width="10.54296875" customWidth="1" style="662" min="4620" max="4621"/>
    <col width="2.453125" customWidth="1" style="662" min="4622" max="4622"/>
    <col width="10.54296875" customWidth="1" style="662" min="4623" max="4624"/>
    <col width="1.1796875" customWidth="1" style="662" min="4625" max="4625"/>
    <col width="9.1796875" customWidth="1" style="662" min="4626" max="4864"/>
    <col width="2" customWidth="1" style="662" min="4865" max="4865"/>
    <col width="2.1796875" customWidth="1" style="662" min="4866" max="4866"/>
    <col width="10.54296875" customWidth="1" style="662" min="4867" max="4867"/>
    <col width="24.54296875" customWidth="1" style="662" min="4868" max="4868"/>
    <col width="6.54296875" customWidth="1" style="662" min="4869" max="4869"/>
    <col width="11.81640625" customWidth="1" style="662" min="4870" max="4870"/>
    <col width="2.54296875" customWidth="1" style="662" min="4871" max="4871"/>
    <col width="17.54296875" customWidth="1" style="662" min="4872" max="4872"/>
    <col width="10.54296875" customWidth="1" style="662" min="4873" max="4874"/>
    <col width="2.453125" customWidth="1" style="662" min="4875" max="4875"/>
    <col width="10.54296875" customWidth="1" style="662" min="4876" max="4877"/>
    <col width="2.453125" customWidth="1" style="662" min="4878" max="4878"/>
    <col width="10.54296875" customWidth="1" style="662" min="4879" max="4880"/>
    <col width="1.1796875" customWidth="1" style="662" min="4881" max="4881"/>
    <col width="9.1796875" customWidth="1" style="662" min="4882" max="5120"/>
    <col width="2" customWidth="1" style="662" min="5121" max="5121"/>
    <col width="2.1796875" customWidth="1" style="662" min="5122" max="5122"/>
    <col width="10.54296875" customWidth="1" style="662" min="5123" max="5123"/>
    <col width="24.54296875" customWidth="1" style="662" min="5124" max="5124"/>
    <col width="6.54296875" customWidth="1" style="662" min="5125" max="5125"/>
    <col width="11.81640625" customWidth="1" style="662" min="5126" max="5126"/>
    <col width="2.54296875" customWidth="1" style="662" min="5127" max="5127"/>
    <col width="17.54296875" customWidth="1" style="662" min="5128" max="5128"/>
    <col width="10.54296875" customWidth="1" style="662" min="5129" max="5130"/>
    <col width="2.453125" customWidth="1" style="662" min="5131" max="5131"/>
    <col width="10.54296875" customWidth="1" style="662" min="5132" max="5133"/>
    <col width="2.453125" customWidth="1" style="662" min="5134" max="5134"/>
    <col width="10.54296875" customWidth="1" style="662" min="5135" max="5136"/>
    <col width="1.1796875" customWidth="1" style="662" min="5137" max="5137"/>
    <col width="9.1796875" customWidth="1" style="662" min="5138" max="5376"/>
    <col width="2" customWidth="1" style="662" min="5377" max="5377"/>
    <col width="2.1796875" customWidth="1" style="662" min="5378" max="5378"/>
    <col width="10.54296875" customWidth="1" style="662" min="5379" max="5379"/>
    <col width="24.54296875" customWidth="1" style="662" min="5380" max="5380"/>
    <col width="6.54296875" customWidth="1" style="662" min="5381" max="5381"/>
    <col width="11.81640625" customWidth="1" style="662" min="5382" max="5382"/>
    <col width="2.54296875" customWidth="1" style="662" min="5383" max="5383"/>
    <col width="17.54296875" customWidth="1" style="662" min="5384" max="5384"/>
    <col width="10.54296875" customWidth="1" style="662" min="5385" max="5386"/>
    <col width="2.453125" customWidth="1" style="662" min="5387" max="5387"/>
    <col width="10.54296875" customWidth="1" style="662" min="5388" max="5389"/>
    <col width="2.453125" customWidth="1" style="662" min="5390" max="5390"/>
    <col width="10.54296875" customWidth="1" style="662" min="5391" max="5392"/>
    <col width="1.1796875" customWidth="1" style="662" min="5393" max="5393"/>
    <col width="9.1796875" customWidth="1" style="662" min="5394" max="5632"/>
    <col width="2" customWidth="1" style="662" min="5633" max="5633"/>
    <col width="2.1796875" customWidth="1" style="662" min="5634" max="5634"/>
    <col width="10.54296875" customWidth="1" style="662" min="5635" max="5635"/>
    <col width="24.54296875" customWidth="1" style="662" min="5636" max="5636"/>
    <col width="6.54296875" customWidth="1" style="662" min="5637" max="5637"/>
    <col width="11.81640625" customWidth="1" style="662" min="5638" max="5638"/>
    <col width="2.54296875" customWidth="1" style="662" min="5639" max="5639"/>
    <col width="17.54296875" customWidth="1" style="662" min="5640" max="5640"/>
    <col width="10.54296875" customWidth="1" style="662" min="5641" max="5642"/>
    <col width="2.453125" customWidth="1" style="662" min="5643" max="5643"/>
    <col width="10.54296875" customWidth="1" style="662" min="5644" max="5645"/>
    <col width="2.453125" customWidth="1" style="662" min="5646" max="5646"/>
    <col width="10.54296875" customWidth="1" style="662" min="5647" max="5648"/>
    <col width="1.1796875" customWidth="1" style="662" min="5649" max="5649"/>
    <col width="9.1796875" customWidth="1" style="662" min="5650" max="5888"/>
    <col width="2" customWidth="1" style="662" min="5889" max="5889"/>
    <col width="2.1796875" customWidth="1" style="662" min="5890" max="5890"/>
    <col width="10.54296875" customWidth="1" style="662" min="5891" max="5891"/>
    <col width="24.54296875" customWidth="1" style="662" min="5892" max="5892"/>
    <col width="6.54296875" customWidth="1" style="662" min="5893" max="5893"/>
    <col width="11.81640625" customWidth="1" style="662" min="5894" max="5894"/>
    <col width="2.54296875" customWidth="1" style="662" min="5895" max="5895"/>
    <col width="17.54296875" customWidth="1" style="662" min="5896" max="5896"/>
    <col width="10.54296875" customWidth="1" style="662" min="5897" max="5898"/>
    <col width="2.453125" customWidth="1" style="662" min="5899" max="5899"/>
    <col width="10.54296875" customWidth="1" style="662" min="5900" max="5901"/>
    <col width="2.453125" customWidth="1" style="662" min="5902" max="5902"/>
    <col width="10.54296875" customWidth="1" style="662" min="5903" max="5904"/>
    <col width="1.1796875" customWidth="1" style="662" min="5905" max="5905"/>
    <col width="9.1796875" customWidth="1" style="662" min="5906" max="6144"/>
    <col width="2" customWidth="1" style="662" min="6145" max="6145"/>
    <col width="2.1796875" customWidth="1" style="662" min="6146" max="6146"/>
    <col width="10.54296875" customWidth="1" style="662" min="6147" max="6147"/>
    <col width="24.54296875" customWidth="1" style="662" min="6148" max="6148"/>
    <col width="6.54296875" customWidth="1" style="662" min="6149" max="6149"/>
    <col width="11.81640625" customWidth="1" style="662" min="6150" max="6150"/>
    <col width="2.54296875" customWidth="1" style="662" min="6151" max="6151"/>
    <col width="17.54296875" customWidth="1" style="662" min="6152" max="6152"/>
    <col width="10.54296875" customWidth="1" style="662" min="6153" max="6154"/>
    <col width="2.453125" customWidth="1" style="662" min="6155" max="6155"/>
    <col width="10.54296875" customWidth="1" style="662" min="6156" max="6157"/>
    <col width="2.453125" customWidth="1" style="662" min="6158" max="6158"/>
    <col width="10.54296875" customWidth="1" style="662" min="6159" max="6160"/>
    <col width="1.1796875" customWidth="1" style="662" min="6161" max="6161"/>
    <col width="9.1796875" customWidth="1" style="662" min="6162" max="6400"/>
    <col width="2" customWidth="1" style="662" min="6401" max="6401"/>
    <col width="2.1796875" customWidth="1" style="662" min="6402" max="6402"/>
    <col width="10.54296875" customWidth="1" style="662" min="6403" max="6403"/>
    <col width="24.54296875" customWidth="1" style="662" min="6404" max="6404"/>
    <col width="6.54296875" customWidth="1" style="662" min="6405" max="6405"/>
    <col width="11.81640625" customWidth="1" style="662" min="6406" max="6406"/>
    <col width="2.54296875" customWidth="1" style="662" min="6407" max="6407"/>
    <col width="17.54296875" customWidth="1" style="662" min="6408" max="6408"/>
    <col width="10.54296875" customWidth="1" style="662" min="6409" max="6410"/>
    <col width="2.453125" customWidth="1" style="662" min="6411" max="6411"/>
    <col width="10.54296875" customWidth="1" style="662" min="6412" max="6413"/>
    <col width="2.453125" customWidth="1" style="662" min="6414" max="6414"/>
    <col width="10.54296875" customWidth="1" style="662" min="6415" max="6416"/>
    <col width="1.1796875" customWidth="1" style="662" min="6417" max="6417"/>
    <col width="9.1796875" customWidth="1" style="662" min="6418" max="6656"/>
    <col width="2" customWidth="1" style="662" min="6657" max="6657"/>
    <col width="2.1796875" customWidth="1" style="662" min="6658" max="6658"/>
    <col width="10.54296875" customWidth="1" style="662" min="6659" max="6659"/>
    <col width="24.54296875" customWidth="1" style="662" min="6660" max="6660"/>
    <col width="6.54296875" customWidth="1" style="662" min="6661" max="6661"/>
    <col width="11.81640625" customWidth="1" style="662" min="6662" max="6662"/>
    <col width="2.54296875" customWidth="1" style="662" min="6663" max="6663"/>
    <col width="17.54296875" customWidth="1" style="662" min="6664" max="6664"/>
    <col width="10.54296875" customWidth="1" style="662" min="6665" max="6666"/>
    <col width="2.453125" customWidth="1" style="662" min="6667" max="6667"/>
    <col width="10.54296875" customWidth="1" style="662" min="6668" max="6669"/>
    <col width="2.453125" customWidth="1" style="662" min="6670" max="6670"/>
    <col width="10.54296875" customWidth="1" style="662" min="6671" max="6672"/>
    <col width="1.1796875" customWidth="1" style="662" min="6673" max="6673"/>
    <col width="9.1796875" customWidth="1" style="662" min="6674" max="6912"/>
    <col width="2" customWidth="1" style="662" min="6913" max="6913"/>
    <col width="2.1796875" customWidth="1" style="662" min="6914" max="6914"/>
    <col width="10.54296875" customWidth="1" style="662" min="6915" max="6915"/>
    <col width="24.54296875" customWidth="1" style="662" min="6916" max="6916"/>
    <col width="6.54296875" customWidth="1" style="662" min="6917" max="6917"/>
    <col width="11.81640625" customWidth="1" style="662" min="6918" max="6918"/>
    <col width="2.54296875" customWidth="1" style="662" min="6919" max="6919"/>
    <col width="17.54296875" customWidth="1" style="662" min="6920" max="6920"/>
    <col width="10.54296875" customWidth="1" style="662" min="6921" max="6922"/>
    <col width="2.453125" customWidth="1" style="662" min="6923" max="6923"/>
    <col width="10.54296875" customWidth="1" style="662" min="6924" max="6925"/>
    <col width="2.453125" customWidth="1" style="662" min="6926" max="6926"/>
    <col width="10.54296875" customWidth="1" style="662" min="6927" max="6928"/>
    <col width="1.1796875" customWidth="1" style="662" min="6929" max="6929"/>
    <col width="9.1796875" customWidth="1" style="662" min="6930" max="7168"/>
    <col width="2" customWidth="1" style="662" min="7169" max="7169"/>
    <col width="2.1796875" customWidth="1" style="662" min="7170" max="7170"/>
    <col width="10.54296875" customWidth="1" style="662" min="7171" max="7171"/>
    <col width="24.54296875" customWidth="1" style="662" min="7172" max="7172"/>
    <col width="6.54296875" customWidth="1" style="662" min="7173" max="7173"/>
    <col width="11.81640625" customWidth="1" style="662" min="7174" max="7174"/>
    <col width="2.54296875" customWidth="1" style="662" min="7175" max="7175"/>
    <col width="17.54296875" customWidth="1" style="662" min="7176" max="7176"/>
    <col width="10.54296875" customWidth="1" style="662" min="7177" max="7178"/>
    <col width="2.453125" customWidth="1" style="662" min="7179" max="7179"/>
    <col width="10.54296875" customWidth="1" style="662" min="7180" max="7181"/>
    <col width="2.453125" customWidth="1" style="662" min="7182" max="7182"/>
    <col width="10.54296875" customWidth="1" style="662" min="7183" max="7184"/>
    <col width="1.1796875" customWidth="1" style="662" min="7185" max="7185"/>
    <col width="9.1796875" customWidth="1" style="662" min="7186" max="7424"/>
    <col width="2" customWidth="1" style="662" min="7425" max="7425"/>
    <col width="2.1796875" customWidth="1" style="662" min="7426" max="7426"/>
    <col width="10.54296875" customWidth="1" style="662" min="7427" max="7427"/>
    <col width="24.54296875" customWidth="1" style="662" min="7428" max="7428"/>
    <col width="6.54296875" customWidth="1" style="662" min="7429" max="7429"/>
    <col width="11.81640625" customWidth="1" style="662" min="7430" max="7430"/>
    <col width="2.54296875" customWidth="1" style="662" min="7431" max="7431"/>
    <col width="17.54296875" customWidth="1" style="662" min="7432" max="7432"/>
    <col width="10.54296875" customWidth="1" style="662" min="7433" max="7434"/>
    <col width="2.453125" customWidth="1" style="662" min="7435" max="7435"/>
    <col width="10.54296875" customWidth="1" style="662" min="7436" max="7437"/>
    <col width="2.453125" customWidth="1" style="662" min="7438" max="7438"/>
    <col width="10.54296875" customWidth="1" style="662" min="7439" max="7440"/>
    <col width="1.1796875" customWidth="1" style="662" min="7441" max="7441"/>
    <col width="9.1796875" customWidth="1" style="662" min="7442" max="7680"/>
    <col width="2" customWidth="1" style="662" min="7681" max="7681"/>
    <col width="2.1796875" customWidth="1" style="662" min="7682" max="7682"/>
    <col width="10.54296875" customWidth="1" style="662" min="7683" max="7683"/>
    <col width="24.54296875" customWidth="1" style="662" min="7684" max="7684"/>
    <col width="6.54296875" customWidth="1" style="662" min="7685" max="7685"/>
    <col width="11.81640625" customWidth="1" style="662" min="7686" max="7686"/>
    <col width="2.54296875" customWidth="1" style="662" min="7687" max="7687"/>
    <col width="17.54296875" customWidth="1" style="662" min="7688" max="7688"/>
    <col width="10.54296875" customWidth="1" style="662" min="7689" max="7690"/>
    <col width="2.453125" customWidth="1" style="662" min="7691" max="7691"/>
    <col width="10.54296875" customWidth="1" style="662" min="7692" max="7693"/>
    <col width="2.453125" customWidth="1" style="662" min="7694" max="7694"/>
    <col width="10.54296875" customWidth="1" style="662" min="7695" max="7696"/>
    <col width="1.1796875" customWidth="1" style="662" min="7697" max="7697"/>
    <col width="9.1796875" customWidth="1" style="662" min="7698" max="7936"/>
    <col width="2" customWidth="1" style="662" min="7937" max="7937"/>
    <col width="2.1796875" customWidth="1" style="662" min="7938" max="7938"/>
    <col width="10.54296875" customWidth="1" style="662" min="7939" max="7939"/>
    <col width="24.54296875" customWidth="1" style="662" min="7940" max="7940"/>
    <col width="6.54296875" customWidth="1" style="662" min="7941" max="7941"/>
    <col width="11.81640625" customWidth="1" style="662" min="7942" max="7942"/>
    <col width="2.54296875" customWidth="1" style="662" min="7943" max="7943"/>
    <col width="17.54296875" customWidth="1" style="662" min="7944" max="7944"/>
    <col width="10.54296875" customWidth="1" style="662" min="7945" max="7946"/>
    <col width="2.453125" customWidth="1" style="662" min="7947" max="7947"/>
    <col width="10.54296875" customWidth="1" style="662" min="7948" max="7949"/>
    <col width="2.453125" customWidth="1" style="662" min="7950" max="7950"/>
    <col width="10.54296875" customWidth="1" style="662" min="7951" max="7952"/>
    <col width="1.1796875" customWidth="1" style="662" min="7953" max="7953"/>
    <col width="9.1796875" customWidth="1" style="662" min="7954" max="8192"/>
    <col width="2" customWidth="1" style="662" min="8193" max="8193"/>
    <col width="2.1796875" customWidth="1" style="662" min="8194" max="8194"/>
    <col width="10.54296875" customWidth="1" style="662" min="8195" max="8195"/>
    <col width="24.54296875" customWidth="1" style="662" min="8196" max="8196"/>
    <col width="6.54296875" customWidth="1" style="662" min="8197" max="8197"/>
    <col width="11.81640625" customWidth="1" style="662" min="8198" max="8198"/>
    <col width="2.54296875" customWidth="1" style="662" min="8199" max="8199"/>
    <col width="17.54296875" customWidth="1" style="662" min="8200" max="8200"/>
    <col width="10.54296875" customWidth="1" style="662" min="8201" max="8202"/>
    <col width="2.453125" customWidth="1" style="662" min="8203" max="8203"/>
    <col width="10.54296875" customWidth="1" style="662" min="8204" max="8205"/>
    <col width="2.453125" customWidth="1" style="662" min="8206" max="8206"/>
    <col width="10.54296875" customWidth="1" style="662" min="8207" max="8208"/>
    <col width="1.1796875" customWidth="1" style="662" min="8209" max="8209"/>
    <col width="9.1796875" customWidth="1" style="662" min="8210" max="8448"/>
    <col width="2" customWidth="1" style="662" min="8449" max="8449"/>
    <col width="2.1796875" customWidth="1" style="662" min="8450" max="8450"/>
    <col width="10.54296875" customWidth="1" style="662" min="8451" max="8451"/>
    <col width="24.54296875" customWidth="1" style="662" min="8452" max="8452"/>
    <col width="6.54296875" customWidth="1" style="662" min="8453" max="8453"/>
    <col width="11.81640625" customWidth="1" style="662" min="8454" max="8454"/>
    <col width="2.54296875" customWidth="1" style="662" min="8455" max="8455"/>
    <col width="17.54296875" customWidth="1" style="662" min="8456" max="8456"/>
    <col width="10.54296875" customWidth="1" style="662" min="8457" max="8458"/>
    <col width="2.453125" customWidth="1" style="662" min="8459" max="8459"/>
    <col width="10.54296875" customWidth="1" style="662" min="8460" max="8461"/>
    <col width="2.453125" customWidth="1" style="662" min="8462" max="8462"/>
    <col width="10.54296875" customWidth="1" style="662" min="8463" max="8464"/>
    <col width="1.1796875" customWidth="1" style="662" min="8465" max="8465"/>
    <col width="9.1796875" customWidth="1" style="662" min="8466" max="8704"/>
    <col width="2" customWidth="1" style="662" min="8705" max="8705"/>
    <col width="2.1796875" customWidth="1" style="662" min="8706" max="8706"/>
    <col width="10.54296875" customWidth="1" style="662" min="8707" max="8707"/>
    <col width="24.54296875" customWidth="1" style="662" min="8708" max="8708"/>
    <col width="6.54296875" customWidth="1" style="662" min="8709" max="8709"/>
    <col width="11.81640625" customWidth="1" style="662" min="8710" max="8710"/>
    <col width="2.54296875" customWidth="1" style="662" min="8711" max="8711"/>
    <col width="17.54296875" customWidth="1" style="662" min="8712" max="8712"/>
    <col width="10.54296875" customWidth="1" style="662" min="8713" max="8714"/>
    <col width="2.453125" customWidth="1" style="662" min="8715" max="8715"/>
    <col width="10.54296875" customWidth="1" style="662" min="8716" max="8717"/>
    <col width="2.453125" customWidth="1" style="662" min="8718" max="8718"/>
    <col width="10.54296875" customWidth="1" style="662" min="8719" max="8720"/>
    <col width="1.1796875" customWidth="1" style="662" min="8721" max="8721"/>
    <col width="9.1796875" customWidth="1" style="662" min="8722" max="8960"/>
    <col width="2" customWidth="1" style="662" min="8961" max="8961"/>
    <col width="2.1796875" customWidth="1" style="662" min="8962" max="8962"/>
    <col width="10.54296875" customWidth="1" style="662" min="8963" max="8963"/>
    <col width="24.54296875" customWidth="1" style="662" min="8964" max="8964"/>
    <col width="6.54296875" customWidth="1" style="662" min="8965" max="8965"/>
    <col width="11.81640625" customWidth="1" style="662" min="8966" max="8966"/>
    <col width="2.54296875" customWidth="1" style="662" min="8967" max="8967"/>
    <col width="17.54296875" customWidth="1" style="662" min="8968" max="8968"/>
    <col width="10.54296875" customWidth="1" style="662" min="8969" max="8970"/>
    <col width="2.453125" customWidth="1" style="662" min="8971" max="8971"/>
    <col width="10.54296875" customWidth="1" style="662" min="8972" max="8973"/>
    <col width="2.453125" customWidth="1" style="662" min="8974" max="8974"/>
    <col width="10.54296875" customWidth="1" style="662" min="8975" max="8976"/>
    <col width="1.1796875" customWidth="1" style="662" min="8977" max="8977"/>
    <col width="9.1796875" customWidth="1" style="662" min="8978" max="9216"/>
    <col width="2" customWidth="1" style="662" min="9217" max="9217"/>
    <col width="2.1796875" customWidth="1" style="662" min="9218" max="9218"/>
    <col width="10.54296875" customWidth="1" style="662" min="9219" max="9219"/>
    <col width="24.54296875" customWidth="1" style="662" min="9220" max="9220"/>
    <col width="6.54296875" customWidth="1" style="662" min="9221" max="9221"/>
    <col width="11.81640625" customWidth="1" style="662" min="9222" max="9222"/>
    <col width="2.54296875" customWidth="1" style="662" min="9223" max="9223"/>
    <col width="17.54296875" customWidth="1" style="662" min="9224" max="9224"/>
    <col width="10.54296875" customWidth="1" style="662" min="9225" max="9226"/>
    <col width="2.453125" customWidth="1" style="662" min="9227" max="9227"/>
    <col width="10.54296875" customWidth="1" style="662" min="9228" max="9229"/>
    <col width="2.453125" customWidth="1" style="662" min="9230" max="9230"/>
    <col width="10.54296875" customWidth="1" style="662" min="9231" max="9232"/>
    <col width="1.1796875" customWidth="1" style="662" min="9233" max="9233"/>
    <col width="9.1796875" customWidth="1" style="662" min="9234" max="9472"/>
    <col width="2" customWidth="1" style="662" min="9473" max="9473"/>
    <col width="2.1796875" customWidth="1" style="662" min="9474" max="9474"/>
    <col width="10.54296875" customWidth="1" style="662" min="9475" max="9475"/>
    <col width="24.54296875" customWidth="1" style="662" min="9476" max="9476"/>
    <col width="6.54296875" customWidth="1" style="662" min="9477" max="9477"/>
    <col width="11.81640625" customWidth="1" style="662" min="9478" max="9478"/>
    <col width="2.54296875" customWidth="1" style="662" min="9479" max="9479"/>
    <col width="17.54296875" customWidth="1" style="662" min="9480" max="9480"/>
    <col width="10.54296875" customWidth="1" style="662" min="9481" max="9482"/>
    <col width="2.453125" customWidth="1" style="662" min="9483" max="9483"/>
    <col width="10.54296875" customWidth="1" style="662" min="9484" max="9485"/>
    <col width="2.453125" customWidth="1" style="662" min="9486" max="9486"/>
    <col width="10.54296875" customWidth="1" style="662" min="9487" max="9488"/>
    <col width="1.1796875" customWidth="1" style="662" min="9489" max="9489"/>
    <col width="9.1796875" customWidth="1" style="662" min="9490" max="9728"/>
    <col width="2" customWidth="1" style="662" min="9729" max="9729"/>
    <col width="2.1796875" customWidth="1" style="662" min="9730" max="9730"/>
    <col width="10.54296875" customWidth="1" style="662" min="9731" max="9731"/>
    <col width="24.54296875" customWidth="1" style="662" min="9732" max="9732"/>
    <col width="6.54296875" customWidth="1" style="662" min="9733" max="9733"/>
    <col width="11.81640625" customWidth="1" style="662" min="9734" max="9734"/>
    <col width="2.54296875" customWidth="1" style="662" min="9735" max="9735"/>
    <col width="17.54296875" customWidth="1" style="662" min="9736" max="9736"/>
    <col width="10.54296875" customWidth="1" style="662" min="9737" max="9738"/>
    <col width="2.453125" customWidth="1" style="662" min="9739" max="9739"/>
    <col width="10.54296875" customWidth="1" style="662" min="9740" max="9741"/>
    <col width="2.453125" customWidth="1" style="662" min="9742" max="9742"/>
    <col width="10.54296875" customWidth="1" style="662" min="9743" max="9744"/>
    <col width="1.1796875" customWidth="1" style="662" min="9745" max="9745"/>
    <col width="9.1796875" customWidth="1" style="662" min="9746" max="9984"/>
    <col width="2" customWidth="1" style="662" min="9985" max="9985"/>
    <col width="2.1796875" customWidth="1" style="662" min="9986" max="9986"/>
    <col width="10.54296875" customWidth="1" style="662" min="9987" max="9987"/>
    <col width="24.54296875" customWidth="1" style="662" min="9988" max="9988"/>
    <col width="6.54296875" customWidth="1" style="662" min="9989" max="9989"/>
    <col width="11.81640625" customWidth="1" style="662" min="9990" max="9990"/>
    <col width="2.54296875" customWidth="1" style="662" min="9991" max="9991"/>
    <col width="17.54296875" customWidth="1" style="662" min="9992" max="9992"/>
    <col width="10.54296875" customWidth="1" style="662" min="9993" max="9994"/>
    <col width="2.453125" customWidth="1" style="662" min="9995" max="9995"/>
    <col width="10.54296875" customWidth="1" style="662" min="9996" max="9997"/>
    <col width="2.453125" customWidth="1" style="662" min="9998" max="9998"/>
    <col width="10.54296875" customWidth="1" style="662" min="9999" max="10000"/>
    <col width="1.1796875" customWidth="1" style="662" min="10001" max="10001"/>
    <col width="9.1796875" customWidth="1" style="662" min="10002" max="10240"/>
    <col width="2" customWidth="1" style="662" min="10241" max="10241"/>
    <col width="2.1796875" customWidth="1" style="662" min="10242" max="10242"/>
    <col width="10.54296875" customWidth="1" style="662" min="10243" max="10243"/>
    <col width="24.54296875" customWidth="1" style="662" min="10244" max="10244"/>
    <col width="6.54296875" customWidth="1" style="662" min="10245" max="10245"/>
    <col width="11.81640625" customWidth="1" style="662" min="10246" max="10246"/>
    <col width="2.54296875" customWidth="1" style="662" min="10247" max="10247"/>
    <col width="17.54296875" customWidth="1" style="662" min="10248" max="10248"/>
    <col width="10.54296875" customWidth="1" style="662" min="10249" max="10250"/>
    <col width="2.453125" customWidth="1" style="662" min="10251" max="10251"/>
    <col width="10.54296875" customWidth="1" style="662" min="10252" max="10253"/>
    <col width="2.453125" customWidth="1" style="662" min="10254" max="10254"/>
    <col width="10.54296875" customWidth="1" style="662" min="10255" max="10256"/>
    <col width="1.1796875" customWidth="1" style="662" min="10257" max="10257"/>
    <col width="9.1796875" customWidth="1" style="662" min="10258" max="10496"/>
    <col width="2" customWidth="1" style="662" min="10497" max="10497"/>
    <col width="2.1796875" customWidth="1" style="662" min="10498" max="10498"/>
    <col width="10.54296875" customWidth="1" style="662" min="10499" max="10499"/>
    <col width="24.54296875" customWidth="1" style="662" min="10500" max="10500"/>
    <col width="6.54296875" customWidth="1" style="662" min="10501" max="10501"/>
    <col width="11.81640625" customWidth="1" style="662" min="10502" max="10502"/>
    <col width="2.54296875" customWidth="1" style="662" min="10503" max="10503"/>
    <col width="17.54296875" customWidth="1" style="662" min="10504" max="10504"/>
    <col width="10.54296875" customWidth="1" style="662" min="10505" max="10506"/>
    <col width="2.453125" customWidth="1" style="662" min="10507" max="10507"/>
    <col width="10.54296875" customWidth="1" style="662" min="10508" max="10509"/>
    <col width="2.453125" customWidth="1" style="662" min="10510" max="10510"/>
    <col width="10.54296875" customWidth="1" style="662" min="10511" max="10512"/>
    <col width="1.1796875" customWidth="1" style="662" min="10513" max="10513"/>
    <col width="9.1796875" customWidth="1" style="662" min="10514" max="10752"/>
    <col width="2" customWidth="1" style="662" min="10753" max="10753"/>
    <col width="2.1796875" customWidth="1" style="662" min="10754" max="10754"/>
    <col width="10.54296875" customWidth="1" style="662" min="10755" max="10755"/>
    <col width="24.54296875" customWidth="1" style="662" min="10756" max="10756"/>
    <col width="6.54296875" customWidth="1" style="662" min="10757" max="10757"/>
    <col width="11.81640625" customWidth="1" style="662" min="10758" max="10758"/>
    <col width="2.54296875" customWidth="1" style="662" min="10759" max="10759"/>
    <col width="17.54296875" customWidth="1" style="662" min="10760" max="10760"/>
    <col width="10.54296875" customWidth="1" style="662" min="10761" max="10762"/>
    <col width="2.453125" customWidth="1" style="662" min="10763" max="10763"/>
    <col width="10.54296875" customWidth="1" style="662" min="10764" max="10765"/>
    <col width="2.453125" customWidth="1" style="662" min="10766" max="10766"/>
    <col width="10.54296875" customWidth="1" style="662" min="10767" max="10768"/>
    <col width="1.1796875" customWidth="1" style="662" min="10769" max="10769"/>
    <col width="9.1796875" customWidth="1" style="662" min="10770" max="11008"/>
    <col width="2" customWidth="1" style="662" min="11009" max="11009"/>
    <col width="2.1796875" customWidth="1" style="662" min="11010" max="11010"/>
    <col width="10.54296875" customWidth="1" style="662" min="11011" max="11011"/>
    <col width="24.54296875" customWidth="1" style="662" min="11012" max="11012"/>
    <col width="6.54296875" customWidth="1" style="662" min="11013" max="11013"/>
    <col width="11.81640625" customWidth="1" style="662" min="11014" max="11014"/>
    <col width="2.54296875" customWidth="1" style="662" min="11015" max="11015"/>
    <col width="17.54296875" customWidth="1" style="662" min="11016" max="11016"/>
    <col width="10.54296875" customWidth="1" style="662" min="11017" max="11018"/>
    <col width="2.453125" customWidth="1" style="662" min="11019" max="11019"/>
    <col width="10.54296875" customWidth="1" style="662" min="11020" max="11021"/>
    <col width="2.453125" customWidth="1" style="662" min="11022" max="11022"/>
    <col width="10.54296875" customWidth="1" style="662" min="11023" max="11024"/>
    <col width="1.1796875" customWidth="1" style="662" min="11025" max="11025"/>
    <col width="9.1796875" customWidth="1" style="662" min="11026" max="11264"/>
    <col width="2" customWidth="1" style="662" min="11265" max="11265"/>
    <col width="2.1796875" customWidth="1" style="662" min="11266" max="11266"/>
    <col width="10.54296875" customWidth="1" style="662" min="11267" max="11267"/>
    <col width="24.54296875" customWidth="1" style="662" min="11268" max="11268"/>
    <col width="6.54296875" customWidth="1" style="662" min="11269" max="11269"/>
    <col width="11.81640625" customWidth="1" style="662" min="11270" max="11270"/>
    <col width="2.54296875" customWidth="1" style="662" min="11271" max="11271"/>
    <col width="17.54296875" customWidth="1" style="662" min="11272" max="11272"/>
    <col width="10.54296875" customWidth="1" style="662" min="11273" max="11274"/>
    <col width="2.453125" customWidth="1" style="662" min="11275" max="11275"/>
    <col width="10.54296875" customWidth="1" style="662" min="11276" max="11277"/>
    <col width="2.453125" customWidth="1" style="662" min="11278" max="11278"/>
    <col width="10.54296875" customWidth="1" style="662" min="11279" max="11280"/>
    <col width="1.1796875" customWidth="1" style="662" min="11281" max="11281"/>
    <col width="9.1796875" customWidth="1" style="662" min="11282" max="11520"/>
    <col width="2" customWidth="1" style="662" min="11521" max="11521"/>
    <col width="2.1796875" customWidth="1" style="662" min="11522" max="11522"/>
    <col width="10.54296875" customWidth="1" style="662" min="11523" max="11523"/>
    <col width="24.54296875" customWidth="1" style="662" min="11524" max="11524"/>
    <col width="6.54296875" customWidth="1" style="662" min="11525" max="11525"/>
    <col width="11.81640625" customWidth="1" style="662" min="11526" max="11526"/>
    <col width="2.54296875" customWidth="1" style="662" min="11527" max="11527"/>
    <col width="17.54296875" customWidth="1" style="662" min="11528" max="11528"/>
    <col width="10.54296875" customWidth="1" style="662" min="11529" max="11530"/>
    <col width="2.453125" customWidth="1" style="662" min="11531" max="11531"/>
    <col width="10.54296875" customWidth="1" style="662" min="11532" max="11533"/>
    <col width="2.453125" customWidth="1" style="662" min="11534" max="11534"/>
    <col width="10.54296875" customWidth="1" style="662" min="11535" max="11536"/>
    <col width="1.1796875" customWidth="1" style="662" min="11537" max="11537"/>
    <col width="9.1796875" customWidth="1" style="662" min="11538" max="11776"/>
    <col width="2" customWidth="1" style="662" min="11777" max="11777"/>
    <col width="2.1796875" customWidth="1" style="662" min="11778" max="11778"/>
    <col width="10.54296875" customWidth="1" style="662" min="11779" max="11779"/>
    <col width="24.54296875" customWidth="1" style="662" min="11780" max="11780"/>
    <col width="6.54296875" customWidth="1" style="662" min="11781" max="11781"/>
    <col width="11.81640625" customWidth="1" style="662" min="11782" max="11782"/>
    <col width="2.54296875" customWidth="1" style="662" min="11783" max="11783"/>
    <col width="17.54296875" customWidth="1" style="662" min="11784" max="11784"/>
    <col width="10.54296875" customWidth="1" style="662" min="11785" max="11786"/>
    <col width="2.453125" customWidth="1" style="662" min="11787" max="11787"/>
    <col width="10.54296875" customWidth="1" style="662" min="11788" max="11789"/>
    <col width="2.453125" customWidth="1" style="662" min="11790" max="11790"/>
    <col width="10.54296875" customWidth="1" style="662" min="11791" max="11792"/>
    <col width="1.1796875" customWidth="1" style="662" min="11793" max="11793"/>
    <col width="9.1796875" customWidth="1" style="662" min="11794" max="12032"/>
    <col width="2" customWidth="1" style="662" min="12033" max="12033"/>
    <col width="2.1796875" customWidth="1" style="662" min="12034" max="12034"/>
    <col width="10.54296875" customWidth="1" style="662" min="12035" max="12035"/>
    <col width="24.54296875" customWidth="1" style="662" min="12036" max="12036"/>
    <col width="6.54296875" customWidth="1" style="662" min="12037" max="12037"/>
    <col width="11.81640625" customWidth="1" style="662" min="12038" max="12038"/>
    <col width="2.54296875" customWidth="1" style="662" min="12039" max="12039"/>
    <col width="17.54296875" customWidth="1" style="662" min="12040" max="12040"/>
    <col width="10.54296875" customWidth="1" style="662" min="12041" max="12042"/>
    <col width="2.453125" customWidth="1" style="662" min="12043" max="12043"/>
    <col width="10.54296875" customWidth="1" style="662" min="12044" max="12045"/>
    <col width="2.453125" customWidth="1" style="662" min="12046" max="12046"/>
    <col width="10.54296875" customWidth="1" style="662" min="12047" max="12048"/>
    <col width="1.1796875" customWidth="1" style="662" min="12049" max="12049"/>
    <col width="9.1796875" customWidth="1" style="662" min="12050" max="12288"/>
    <col width="2" customWidth="1" style="662" min="12289" max="12289"/>
    <col width="2.1796875" customWidth="1" style="662" min="12290" max="12290"/>
    <col width="10.54296875" customWidth="1" style="662" min="12291" max="12291"/>
    <col width="24.54296875" customWidth="1" style="662" min="12292" max="12292"/>
    <col width="6.54296875" customWidth="1" style="662" min="12293" max="12293"/>
    <col width="11.81640625" customWidth="1" style="662" min="12294" max="12294"/>
    <col width="2.54296875" customWidth="1" style="662" min="12295" max="12295"/>
    <col width="17.54296875" customWidth="1" style="662" min="12296" max="12296"/>
    <col width="10.54296875" customWidth="1" style="662" min="12297" max="12298"/>
    <col width="2.453125" customWidth="1" style="662" min="12299" max="12299"/>
    <col width="10.54296875" customWidth="1" style="662" min="12300" max="12301"/>
    <col width="2.453125" customWidth="1" style="662" min="12302" max="12302"/>
    <col width="10.54296875" customWidth="1" style="662" min="12303" max="12304"/>
    <col width="1.1796875" customWidth="1" style="662" min="12305" max="12305"/>
    <col width="9.1796875" customWidth="1" style="662" min="12306" max="12544"/>
    <col width="2" customWidth="1" style="662" min="12545" max="12545"/>
    <col width="2.1796875" customWidth="1" style="662" min="12546" max="12546"/>
    <col width="10.54296875" customWidth="1" style="662" min="12547" max="12547"/>
    <col width="24.54296875" customWidth="1" style="662" min="12548" max="12548"/>
    <col width="6.54296875" customWidth="1" style="662" min="12549" max="12549"/>
    <col width="11.81640625" customWidth="1" style="662" min="12550" max="12550"/>
    <col width="2.54296875" customWidth="1" style="662" min="12551" max="12551"/>
    <col width="17.54296875" customWidth="1" style="662" min="12552" max="12552"/>
    <col width="10.54296875" customWidth="1" style="662" min="12553" max="12554"/>
    <col width="2.453125" customWidth="1" style="662" min="12555" max="12555"/>
    <col width="10.54296875" customWidth="1" style="662" min="12556" max="12557"/>
    <col width="2.453125" customWidth="1" style="662" min="12558" max="12558"/>
    <col width="10.54296875" customWidth="1" style="662" min="12559" max="12560"/>
    <col width="1.1796875" customWidth="1" style="662" min="12561" max="12561"/>
    <col width="9.1796875" customWidth="1" style="662" min="12562" max="12800"/>
    <col width="2" customWidth="1" style="662" min="12801" max="12801"/>
    <col width="2.1796875" customWidth="1" style="662" min="12802" max="12802"/>
    <col width="10.54296875" customWidth="1" style="662" min="12803" max="12803"/>
    <col width="24.54296875" customWidth="1" style="662" min="12804" max="12804"/>
    <col width="6.54296875" customWidth="1" style="662" min="12805" max="12805"/>
    <col width="11.81640625" customWidth="1" style="662" min="12806" max="12806"/>
    <col width="2.54296875" customWidth="1" style="662" min="12807" max="12807"/>
    <col width="17.54296875" customWidth="1" style="662" min="12808" max="12808"/>
    <col width="10.54296875" customWidth="1" style="662" min="12809" max="12810"/>
    <col width="2.453125" customWidth="1" style="662" min="12811" max="12811"/>
    <col width="10.54296875" customWidth="1" style="662" min="12812" max="12813"/>
    <col width="2.453125" customWidth="1" style="662" min="12814" max="12814"/>
    <col width="10.54296875" customWidth="1" style="662" min="12815" max="12816"/>
    <col width="1.1796875" customWidth="1" style="662" min="12817" max="12817"/>
    <col width="9.1796875" customWidth="1" style="662" min="12818" max="13056"/>
    <col width="2" customWidth="1" style="662" min="13057" max="13057"/>
    <col width="2.1796875" customWidth="1" style="662" min="13058" max="13058"/>
    <col width="10.54296875" customWidth="1" style="662" min="13059" max="13059"/>
    <col width="24.54296875" customWidth="1" style="662" min="13060" max="13060"/>
    <col width="6.54296875" customWidth="1" style="662" min="13061" max="13061"/>
    <col width="11.81640625" customWidth="1" style="662" min="13062" max="13062"/>
    <col width="2.54296875" customWidth="1" style="662" min="13063" max="13063"/>
    <col width="17.54296875" customWidth="1" style="662" min="13064" max="13064"/>
    <col width="10.54296875" customWidth="1" style="662" min="13065" max="13066"/>
    <col width="2.453125" customWidth="1" style="662" min="13067" max="13067"/>
    <col width="10.54296875" customWidth="1" style="662" min="13068" max="13069"/>
    <col width="2.453125" customWidth="1" style="662" min="13070" max="13070"/>
    <col width="10.54296875" customWidth="1" style="662" min="13071" max="13072"/>
    <col width="1.1796875" customWidth="1" style="662" min="13073" max="13073"/>
    <col width="9.1796875" customWidth="1" style="662" min="13074" max="13312"/>
    <col width="2" customWidth="1" style="662" min="13313" max="13313"/>
    <col width="2.1796875" customWidth="1" style="662" min="13314" max="13314"/>
    <col width="10.54296875" customWidth="1" style="662" min="13315" max="13315"/>
    <col width="24.54296875" customWidth="1" style="662" min="13316" max="13316"/>
    <col width="6.54296875" customWidth="1" style="662" min="13317" max="13317"/>
    <col width="11.81640625" customWidth="1" style="662" min="13318" max="13318"/>
    <col width="2.54296875" customWidth="1" style="662" min="13319" max="13319"/>
    <col width="17.54296875" customWidth="1" style="662" min="13320" max="13320"/>
    <col width="10.54296875" customWidth="1" style="662" min="13321" max="13322"/>
    <col width="2.453125" customWidth="1" style="662" min="13323" max="13323"/>
    <col width="10.54296875" customWidth="1" style="662" min="13324" max="13325"/>
    <col width="2.453125" customWidth="1" style="662" min="13326" max="13326"/>
    <col width="10.54296875" customWidth="1" style="662" min="13327" max="13328"/>
    <col width="1.1796875" customWidth="1" style="662" min="13329" max="13329"/>
    <col width="9.1796875" customWidth="1" style="662" min="13330" max="13568"/>
    <col width="2" customWidth="1" style="662" min="13569" max="13569"/>
    <col width="2.1796875" customWidth="1" style="662" min="13570" max="13570"/>
    <col width="10.54296875" customWidth="1" style="662" min="13571" max="13571"/>
    <col width="24.54296875" customWidth="1" style="662" min="13572" max="13572"/>
    <col width="6.54296875" customWidth="1" style="662" min="13573" max="13573"/>
    <col width="11.81640625" customWidth="1" style="662" min="13574" max="13574"/>
    <col width="2.54296875" customWidth="1" style="662" min="13575" max="13575"/>
    <col width="17.54296875" customWidth="1" style="662" min="13576" max="13576"/>
    <col width="10.54296875" customWidth="1" style="662" min="13577" max="13578"/>
    <col width="2.453125" customWidth="1" style="662" min="13579" max="13579"/>
    <col width="10.54296875" customWidth="1" style="662" min="13580" max="13581"/>
    <col width="2.453125" customWidth="1" style="662" min="13582" max="13582"/>
    <col width="10.54296875" customWidth="1" style="662" min="13583" max="13584"/>
    <col width="1.1796875" customWidth="1" style="662" min="13585" max="13585"/>
    <col width="9.1796875" customWidth="1" style="662" min="13586" max="13824"/>
    <col width="2" customWidth="1" style="662" min="13825" max="13825"/>
    <col width="2.1796875" customWidth="1" style="662" min="13826" max="13826"/>
    <col width="10.54296875" customWidth="1" style="662" min="13827" max="13827"/>
    <col width="24.54296875" customWidth="1" style="662" min="13828" max="13828"/>
    <col width="6.54296875" customWidth="1" style="662" min="13829" max="13829"/>
    <col width="11.81640625" customWidth="1" style="662" min="13830" max="13830"/>
    <col width="2.54296875" customWidth="1" style="662" min="13831" max="13831"/>
    <col width="17.54296875" customWidth="1" style="662" min="13832" max="13832"/>
    <col width="10.54296875" customWidth="1" style="662" min="13833" max="13834"/>
    <col width="2.453125" customWidth="1" style="662" min="13835" max="13835"/>
    <col width="10.54296875" customWidth="1" style="662" min="13836" max="13837"/>
    <col width="2.453125" customWidth="1" style="662" min="13838" max="13838"/>
    <col width="10.54296875" customWidth="1" style="662" min="13839" max="13840"/>
    <col width="1.1796875" customWidth="1" style="662" min="13841" max="13841"/>
    <col width="9.1796875" customWidth="1" style="662" min="13842" max="14080"/>
    <col width="2" customWidth="1" style="662" min="14081" max="14081"/>
    <col width="2.1796875" customWidth="1" style="662" min="14082" max="14082"/>
    <col width="10.54296875" customWidth="1" style="662" min="14083" max="14083"/>
    <col width="24.54296875" customWidth="1" style="662" min="14084" max="14084"/>
    <col width="6.54296875" customWidth="1" style="662" min="14085" max="14085"/>
    <col width="11.81640625" customWidth="1" style="662" min="14086" max="14086"/>
    <col width="2.54296875" customWidth="1" style="662" min="14087" max="14087"/>
    <col width="17.54296875" customWidth="1" style="662" min="14088" max="14088"/>
    <col width="10.54296875" customWidth="1" style="662" min="14089" max="14090"/>
    <col width="2.453125" customWidth="1" style="662" min="14091" max="14091"/>
    <col width="10.54296875" customWidth="1" style="662" min="14092" max="14093"/>
    <col width="2.453125" customWidth="1" style="662" min="14094" max="14094"/>
    <col width="10.54296875" customWidth="1" style="662" min="14095" max="14096"/>
    <col width="1.1796875" customWidth="1" style="662" min="14097" max="14097"/>
    <col width="9.1796875" customWidth="1" style="662" min="14098" max="14336"/>
    <col width="2" customWidth="1" style="662" min="14337" max="14337"/>
    <col width="2.1796875" customWidth="1" style="662" min="14338" max="14338"/>
    <col width="10.54296875" customWidth="1" style="662" min="14339" max="14339"/>
    <col width="24.54296875" customWidth="1" style="662" min="14340" max="14340"/>
    <col width="6.54296875" customWidth="1" style="662" min="14341" max="14341"/>
    <col width="11.81640625" customWidth="1" style="662" min="14342" max="14342"/>
    <col width="2.54296875" customWidth="1" style="662" min="14343" max="14343"/>
    <col width="17.54296875" customWidth="1" style="662" min="14344" max="14344"/>
    <col width="10.54296875" customWidth="1" style="662" min="14345" max="14346"/>
    <col width="2.453125" customWidth="1" style="662" min="14347" max="14347"/>
    <col width="10.54296875" customWidth="1" style="662" min="14348" max="14349"/>
    <col width="2.453125" customWidth="1" style="662" min="14350" max="14350"/>
    <col width="10.54296875" customWidth="1" style="662" min="14351" max="14352"/>
    <col width="1.1796875" customWidth="1" style="662" min="14353" max="14353"/>
    <col width="9.1796875" customWidth="1" style="662" min="14354" max="14592"/>
    <col width="2" customWidth="1" style="662" min="14593" max="14593"/>
    <col width="2.1796875" customWidth="1" style="662" min="14594" max="14594"/>
    <col width="10.54296875" customWidth="1" style="662" min="14595" max="14595"/>
    <col width="24.54296875" customWidth="1" style="662" min="14596" max="14596"/>
    <col width="6.54296875" customWidth="1" style="662" min="14597" max="14597"/>
    <col width="11.81640625" customWidth="1" style="662" min="14598" max="14598"/>
    <col width="2.54296875" customWidth="1" style="662" min="14599" max="14599"/>
    <col width="17.54296875" customWidth="1" style="662" min="14600" max="14600"/>
    <col width="10.54296875" customWidth="1" style="662" min="14601" max="14602"/>
    <col width="2.453125" customWidth="1" style="662" min="14603" max="14603"/>
    <col width="10.54296875" customWidth="1" style="662" min="14604" max="14605"/>
    <col width="2.453125" customWidth="1" style="662" min="14606" max="14606"/>
    <col width="10.54296875" customWidth="1" style="662" min="14607" max="14608"/>
    <col width="1.1796875" customWidth="1" style="662" min="14609" max="14609"/>
    <col width="9.1796875" customWidth="1" style="662" min="14610" max="14848"/>
    <col width="2" customWidth="1" style="662" min="14849" max="14849"/>
    <col width="2.1796875" customWidth="1" style="662" min="14850" max="14850"/>
    <col width="10.54296875" customWidth="1" style="662" min="14851" max="14851"/>
    <col width="24.54296875" customWidth="1" style="662" min="14852" max="14852"/>
    <col width="6.54296875" customWidth="1" style="662" min="14853" max="14853"/>
    <col width="11.81640625" customWidth="1" style="662" min="14854" max="14854"/>
    <col width="2.54296875" customWidth="1" style="662" min="14855" max="14855"/>
    <col width="17.54296875" customWidth="1" style="662" min="14856" max="14856"/>
    <col width="10.54296875" customWidth="1" style="662" min="14857" max="14858"/>
    <col width="2.453125" customWidth="1" style="662" min="14859" max="14859"/>
    <col width="10.54296875" customWidth="1" style="662" min="14860" max="14861"/>
    <col width="2.453125" customWidth="1" style="662" min="14862" max="14862"/>
    <col width="10.54296875" customWidth="1" style="662" min="14863" max="14864"/>
    <col width="1.1796875" customWidth="1" style="662" min="14865" max="14865"/>
    <col width="9.1796875" customWidth="1" style="662" min="14866" max="15104"/>
    <col width="2" customWidth="1" style="662" min="15105" max="15105"/>
    <col width="2.1796875" customWidth="1" style="662" min="15106" max="15106"/>
    <col width="10.54296875" customWidth="1" style="662" min="15107" max="15107"/>
    <col width="24.54296875" customWidth="1" style="662" min="15108" max="15108"/>
    <col width="6.54296875" customWidth="1" style="662" min="15109" max="15109"/>
    <col width="11.81640625" customWidth="1" style="662" min="15110" max="15110"/>
    <col width="2.54296875" customWidth="1" style="662" min="15111" max="15111"/>
    <col width="17.54296875" customWidth="1" style="662" min="15112" max="15112"/>
    <col width="10.54296875" customWidth="1" style="662" min="15113" max="15114"/>
    <col width="2.453125" customWidth="1" style="662" min="15115" max="15115"/>
    <col width="10.54296875" customWidth="1" style="662" min="15116" max="15117"/>
    <col width="2.453125" customWidth="1" style="662" min="15118" max="15118"/>
    <col width="10.54296875" customWidth="1" style="662" min="15119" max="15120"/>
    <col width="1.1796875" customWidth="1" style="662" min="15121" max="15121"/>
    <col width="9.1796875" customWidth="1" style="662" min="15122" max="15360"/>
    <col width="2" customWidth="1" style="662" min="15361" max="15361"/>
    <col width="2.1796875" customWidth="1" style="662" min="15362" max="15362"/>
    <col width="10.54296875" customWidth="1" style="662" min="15363" max="15363"/>
    <col width="24.54296875" customWidth="1" style="662" min="15364" max="15364"/>
    <col width="6.54296875" customWidth="1" style="662" min="15365" max="15365"/>
    <col width="11.81640625" customWidth="1" style="662" min="15366" max="15366"/>
    <col width="2.54296875" customWidth="1" style="662" min="15367" max="15367"/>
    <col width="17.54296875" customWidth="1" style="662" min="15368" max="15368"/>
    <col width="10.54296875" customWidth="1" style="662" min="15369" max="15370"/>
    <col width="2.453125" customWidth="1" style="662" min="15371" max="15371"/>
    <col width="10.54296875" customWidth="1" style="662" min="15372" max="15373"/>
    <col width="2.453125" customWidth="1" style="662" min="15374" max="15374"/>
    <col width="10.54296875" customWidth="1" style="662" min="15375" max="15376"/>
    <col width="1.1796875" customWidth="1" style="662" min="15377" max="15377"/>
    <col width="9.1796875" customWidth="1" style="662" min="15378" max="15616"/>
    <col width="2" customWidth="1" style="662" min="15617" max="15617"/>
    <col width="2.1796875" customWidth="1" style="662" min="15618" max="15618"/>
    <col width="10.54296875" customWidth="1" style="662" min="15619" max="15619"/>
    <col width="24.54296875" customWidth="1" style="662" min="15620" max="15620"/>
    <col width="6.54296875" customWidth="1" style="662" min="15621" max="15621"/>
    <col width="11.81640625" customWidth="1" style="662" min="15622" max="15622"/>
    <col width="2.54296875" customWidth="1" style="662" min="15623" max="15623"/>
    <col width="17.54296875" customWidth="1" style="662" min="15624" max="15624"/>
    <col width="10.54296875" customWidth="1" style="662" min="15625" max="15626"/>
    <col width="2.453125" customWidth="1" style="662" min="15627" max="15627"/>
    <col width="10.54296875" customWidth="1" style="662" min="15628" max="15629"/>
    <col width="2.453125" customWidth="1" style="662" min="15630" max="15630"/>
    <col width="10.54296875" customWidth="1" style="662" min="15631" max="15632"/>
    <col width="1.1796875" customWidth="1" style="662" min="15633" max="15633"/>
    <col width="9.1796875" customWidth="1" style="662" min="15634" max="15872"/>
    <col width="2" customWidth="1" style="662" min="15873" max="15873"/>
    <col width="2.1796875" customWidth="1" style="662" min="15874" max="15874"/>
    <col width="10.54296875" customWidth="1" style="662" min="15875" max="15875"/>
    <col width="24.54296875" customWidth="1" style="662" min="15876" max="15876"/>
    <col width="6.54296875" customWidth="1" style="662" min="15877" max="15877"/>
    <col width="11.81640625" customWidth="1" style="662" min="15878" max="15878"/>
    <col width="2.54296875" customWidth="1" style="662" min="15879" max="15879"/>
    <col width="17.54296875" customWidth="1" style="662" min="15880" max="15880"/>
    <col width="10.54296875" customWidth="1" style="662" min="15881" max="15882"/>
    <col width="2.453125" customWidth="1" style="662" min="15883" max="15883"/>
    <col width="10.54296875" customWidth="1" style="662" min="15884" max="15885"/>
    <col width="2.453125" customWidth="1" style="662" min="15886" max="15886"/>
    <col width="10.54296875" customWidth="1" style="662" min="15887" max="15888"/>
    <col width="1.1796875" customWidth="1" style="662" min="15889" max="15889"/>
    <col width="9.1796875" customWidth="1" style="662" min="15890" max="16128"/>
    <col width="2" customWidth="1" style="662" min="16129" max="16129"/>
    <col width="2.1796875" customWidth="1" style="662" min="16130" max="16130"/>
    <col width="10.54296875" customWidth="1" style="662" min="16131" max="16131"/>
    <col width="24.54296875" customWidth="1" style="662" min="16132" max="16132"/>
    <col width="6.54296875" customWidth="1" style="662" min="16133" max="16133"/>
    <col width="11.81640625" customWidth="1" style="662" min="16134" max="16134"/>
    <col width="2.54296875" customWidth="1" style="662" min="16135" max="16135"/>
    <col width="17.54296875" customWidth="1" style="662" min="16136" max="16136"/>
    <col width="10.54296875" customWidth="1" style="662" min="16137" max="16138"/>
    <col width="2.453125" customWidth="1" style="662" min="16139" max="16139"/>
    <col width="10.54296875" customWidth="1" style="662" min="16140" max="16141"/>
    <col width="2.453125" customWidth="1" style="662" min="16142" max="16142"/>
    <col width="10.54296875" customWidth="1" style="662" min="16143" max="16144"/>
    <col width="1.1796875" customWidth="1" style="662" min="16145" max="16145"/>
    <col width="9.1796875" customWidth="1" style="662" min="16146" max="16384"/>
  </cols>
  <sheetData>
    <row r="1" ht="32.25" customHeight="1">
      <c r="A1" s="877" t="inlineStr">
        <is>
          <t>MPCI</t>
        </is>
      </c>
      <c r="B1" s="437" t="n"/>
      <c r="C1" s="878" t="inlineStr">
        <is>
          <t>Blend Log</t>
        </is>
      </c>
      <c r="D1" s="856" t="n"/>
      <c r="E1" s="857" t="n"/>
      <c r="F1" s="627" t="inlineStr">
        <is>
          <t>DOC: FRM-122</t>
        </is>
      </c>
      <c r="G1" s="856" t="n"/>
      <c r="H1" s="856" t="n"/>
      <c r="I1" s="630" t="inlineStr">
        <is>
          <t>REVISION LEVEL: 019</t>
        </is>
      </c>
      <c r="J1" s="856" t="n"/>
      <c r="K1" s="632" t="inlineStr">
        <is>
          <t>ISSUE DATE:  2/11/22</t>
        </is>
      </c>
      <c r="L1" s="856" t="n"/>
      <c r="M1" s="856" t="n"/>
      <c r="N1" s="879" t="inlineStr">
        <is>
          <t>Process  Step # 3 - "Blending" and                                                                            Process Step # 4 "Feeding"</t>
        </is>
      </c>
      <c r="O1" s="437" t="n"/>
      <c r="P1" s="437" t="n"/>
      <c r="Q1" s="859" t="n"/>
      <c r="R1" s="46" t="n"/>
      <c r="S1" s="46" t="n"/>
      <c r="T1" s="46" t="n"/>
      <c r="U1" s="46" t="n"/>
      <c r="V1" s="46" t="n"/>
      <c r="W1" s="46" t="n"/>
      <c r="X1" s="46" t="n"/>
      <c r="Y1" s="46" t="n"/>
      <c r="Z1" s="46" t="n"/>
      <c r="AA1" s="46" t="n"/>
      <c r="AB1" s="46" t="n"/>
      <c r="AC1" s="46" t="n"/>
      <c r="AD1" s="46" t="n"/>
      <c r="AE1" s="46" t="n"/>
      <c r="AF1" s="46" t="n"/>
      <c r="AG1" s="46" t="n"/>
      <c r="AH1" s="46" t="n"/>
      <c r="AI1" s="46" t="n"/>
      <c r="AJ1" s="46" t="n"/>
      <c r="AK1" s="46" t="n"/>
      <c r="AL1" s="46" t="n"/>
      <c r="AM1" s="46" t="n"/>
      <c r="AN1" s="46" t="n"/>
      <c r="AO1" s="46" t="n"/>
      <c r="AP1" s="46" t="n"/>
      <c r="AQ1" s="46" t="n"/>
      <c r="AR1" s="46" t="n"/>
      <c r="AS1" s="46" t="n"/>
      <c r="AT1" s="46" t="n"/>
      <c r="AU1" s="46" t="n"/>
      <c r="AV1" s="46" t="n"/>
      <c r="AW1" s="46" t="n"/>
      <c r="AX1" s="46" t="n"/>
      <c r="AY1" s="46" t="n"/>
      <c r="AZ1" s="46" t="n"/>
      <c r="BA1" s="46" t="n"/>
      <c r="BB1" s="46" t="n"/>
      <c r="BC1" s="46" t="n"/>
      <c r="BD1" s="46" t="n"/>
      <c r="BE1" s="46" t="n"/>
      <c r="BF1" s="46" t="n"/>
      <c r="BG1" s="46" t="n"/>
      <c r="BH1" s="46" t="n"/>
      <c r="BI1" s="46" t="n"/>
      <c r="BJ1" s="46" t="n"/>
      <c r="BK1" s="46" t="n"/>
      <c r="BL1" s="46" t="n"/>
      <c r="BM1" s="46" t="n"/>
      <c r="BN1" s="46" t="n"/>
      <c r="BP1" s="46" t="n"/>
      <c r="BQ1" s="46" t="n"/>
      <c r="BR1" s="46" t="n"/>
      <c r="BS1" s="46" t="n"/>
      <c r="BT1" s="46" t="n"/>
      <c r="BU1" s="46" t="n"/>
      <c r="BV1" s="46" t="n"/>
      <c r="BW1" s="46" t="n"/>
      <c r="BX1" s="46" t="n"/>
      <c r="BY1" s="46" t="n"/>
      <c r="BZ1" s="46" t="n"/>
      <c r="CA1" s="46" t="n"/>
      <c r="CB1" s="46" t="n"/>
      <c r="CC1" s="46" t="n"/>
    </row>
    <row r="2" ht="30" customHeight="1">
      <c r="A2" s="474" t="n"/>
      <c r="B2" s="441" t="n"/>
      <c r="C2" s="880" t="inlineStr">
        <is>
          <t>Form Reviewed by:  Quality Coordinator</t>
        </is>
      </c>
      <c r="D2" s="857" t="n"/>
      <c r="E2" s="880" t="inlineStr">
        <is>
          <t>Form Approved by: Site Manager</t>
        </is>
      </c>
      <c r="F2" s="856" t="n"/>
      <c r="G2" s="856" t="n"/>
      <c r="H2" s="857" t="n"/>
      <c r="I2" s="881" t="inlineStr">
        <is>
          <t>Blending Instructions (reference PRO007, Preblends)</t>
        </is>
      </c>
      <c r="J2" s="856" t="n"/>
      <c r="K2" s="856" t="n"/>
      <c r="L2" s="856" t="n"/>
      <c r="M2" s="857" t="n"/>
      <c r="N2" s="474" t="n"/>
      <c r="O2" s="441" t="n"/>
      <c r="P2" s="441" t="n"/>
      <c r="Q2" s="442" t="n"/>
      <c r="R2" s="46" t="n"/>
      <c r="S2" s="46" t="n"/>
      <c r="T2" s="46" t="n"/>
      <c r="U2" s="46" t="n"/>
      <c r="V2" s="46" t="n"/>
      <c r="W2" s="46" t="n"/>
      <c r="X2" s="46" t="n"/>
      <c r="Y2" s="46" t="n"/>
      <c r="Z2" s="46" t="n"/>
      <c r="AA2" s="46" t="n"/>
      <c r="AB2" s="46" t="n"/>
      <c r="AC2" s="46" t="n"/>
      <c r="AD2" s="46" t="n"/>
      <c r="AE2" s="46" t="n"/>
      <c r="AF2" s="46" t="n"/>
      <c r="AG2" s="46" t="n"/>
      <c r="AH2" s="46" t="n"/>
      <c r="AI2" s="46" t="n"/>
      <c r="AJ2" s="46" t="n"/>
      <c r="AK2" s="46" t="n"/>
      <c r="AL2" s="46" t="n"/>
      <c r="AM2" s="46" t="n"/>
      <c r="AN2" s="46" t="n"/>
      <c r="AO2" s="46" t="n"/>
      <c r="AP2" s="46" t="n"/>
      <c r="AQ2" s="46" t="n"/>
      <c r="AR2" s="46" t="n"/>
      <c r="AS2" s="46" t="n"/>
      <c r="AT2" s="46" t="n"/>
      <c r="AU2" s="46" t="n"/>
      <c r="AV2" s="46" t="n"/>
      <c r="AW2" s="46" t="n"/>
      <c r="AX2" s="46" t="n"/>
      <c r="AY2" s="46" t="n"/>
      <c r="AZ2" s="46" t="n"/>
      <c r="BA2" s="46" t="n"/>
      <c r="BB2" s="46" t="n"/>
      <c r="BC2" s="46" t="n"/>
      <c r="BD2" s="46" t="n"/>
      <c r="BE2" s="46" t="n"/>
      <c r="BF2" s="46" t="n"/>
      <c r="BG2" s="46" t="n"/>
      <c r="BH2" s="46" t="n"/>
      <c r="BI2" s="46" t="n"/>
      <c r="BJ2" s="46" t="n"/>
      <c r="BK2" s="46" t="n"/>
      <c r="BL2" s="46" t="n"/>
      <c r="BM2" s="46" t="n"/>
      <c r="BN2" s="46" t="n"/>
      <c r="BP2" s="47" t="n"/>
      <c r="BQ2" s="47" t="n"/>
      <c r="BR2" s="47" t="n"/>
      <c r="BS2" s="47" t="n"/>
      <c r="BT2" s="47" t="n"/>
      <c r="BU2" s="47" t="n"/>
      <c r="BV2" s="47" t="n"/>
      <c r="BW2" s="47" t="n"/>
      <c r="BX2" s="47" t="n"/>
      <c r="BY2" s="47" t="n"/>
      <c r="BZ2" s="47" t="n"/>
      <c r="CA2" s="47" t="n"/>
      <c r="CB2" s="47" t="n"/>
      <c r="CC2" s="47" t="n"/>
    </row>
    <row r="3" ht="20.15" customFormat="1" customHeight="1" s="88">
      <c r="C3" s="89" t="n"/>
      <c r="D3" s="90" t="inlineStr">
        <is>
          <t xml:space="preserve">Production Line: </t>
        </is>
      </c>
      <c r="E3" s="91">
        <f>IF(ProductionLineNumber&lt;&gt;0,ProductionLineNumber,"")</f>
        <v/>
      </c>
      <c r="F3" s="92" t="n"/>
      <c r="G3" s="93" t="n"/>
      <c r="H3" s="94" t="inlineStr">
        <is>
          <t xml:space="preserve">1)   Use table scale for any items up to 30 lbs. </t>
        </is>
      </c>
      <c r="I3" s="94" t="n"/>
      <c r="J3" s="94" t="n"/>
      <c r="K3" s="94" t="n"/>
      <c r="L3" s="94" t="n"/>
      <c r="M3" s="94" t="n"/>
      <c r="N3" s="94" t="n"/>
      <c r="O3" s="94" t="n"/>
      <c r="P3" s="94" t="n"/>
      <c r="U3" s="89" t="n"/>
    </row>
    <row r="4" ht="20.15" customFormat="1" customHeight="1" s="53">
      <c r="C4" s="93" t="n"/>
      <c r="D4" s="90" t="inlineStr">
        <is>
          <t xml:space="preserve">          Feeder #: </t>
        </is>
      </c>
      <c r="E4" s="95" t="n"/>
      <c r="F4" s="95" t="n"/>
      <c r="G4" s="93" t="n"/>
      <c r="H4" s="94" t="inlineStr">
        <is>
          <t>2)  Weigh to nearest 0.5 lb when using floor scale; 0.005 lb when using table scale.</t>
        </is>
      </c>
      <c r="I4" s="96" t="n"/>
      <c r="J4" s="96" t="n"/>
      <c r="K4" s="94" t="n"/>
      <c r="L4" s="97" t="n"/>
      <c r="M4" s="96" t="n"/>
      <c r="N4" s="96" t="n"/>
      <c r="O4" s="96" t="n"/>
      <c r="P4" s="96" t="n"/>
      <c r="Q4" s="662" t="n"/>
    </row>
    <row r="5" ht="20.15" customFormat="1" customHeight="1" s="53">
      <c r="C5" s="93" t="n"/>
      <c r="D5" s="90" t="inlineStr">
        <is>
          <t xml:space="preserve">     Job Number: </t>
        </is>
      </c>
      <c r="E5" s="95">
        <f>IF(JobNumber&lt;&gt;0,JobNumber,"")</f>
        <v/>
      </c>
      <c r="F5" s="95" t="n"/>
      <c r="G5" s="93" t="n"/>
      <c r="H5" s="94" t="inlineStr">
        <is>
          <t>3)  Load RM's into Mixaco bowl in the order listed below.</t>
        </is>
      </c>
      <c r="I5" s="96" t="n"/>
      <c r="J5" s="96" t="n"/>
      <c r="K5" s="94" t="n"/>
      <c r="L5" s="96" t="n"/>
      <c r="M5" s="96" t="n"/>
      <c r="N5" s="96" t="n"/>
      <c r="O5" s="96" t="n"/>
      <c r="P5" s="97" t="n"/>
      <c r="Q5" s="98" t="n"/>
      <c r="S5" s="99" t="n"/>
    </row>
    <row r="6" ht="20.15" customFormat="1" customHeight="1" s="53">
      <c r="C6" s="93" t="n"/>
      <c r="D6" s="90" t="inlineStr">
        <is>
          <t xml:space="preserve">      Lot Number: </t>
        </is>
      </c>
      <c r="E6" s="95">
        <f>IF(LotOrCampaignNumber&lt;&gt;0,LotOrCampaignNumber,"")</f>
        <v/>
      </c>
      <c r="F6" s="95" t="n"/>
      <c r="G6" s="93" t="n"/>
      <c r="H6" s="100" t="inlineStr">
        <is>
          <t>4)  Spin 1 min., Tilt down/up, Spin 3 min., scrape &amp; spin 1 more min IF needed.</t>
        </is>
      </c>
      <c r="I6" s="94" t="n"/>
      <c r="J6" s="96" t="n"/>
      <c r="K6" s="96" t="n"/>
      <c r="L6" s="96" t="n"/>
      <c r="M6" s="96" t="n"/>
      <c r="N6" s="96" t="n"/>
      <c r="O6" s="94" t="n"/>
      <c r="P6" s="97" t="n"/>
      <c r="Q6" s="98" t="n"/>
    </row>
    <row r="7" ht="20.15" customFormat="1" customHeight="1" s="53">
      <c r="C7" s="93" t="n"/>
      <c r="D7" s="90" t="inlineStr">
        <is>
          <t xml:space="preserve">   Product Type: </t>
        </is>
      </c>
      <c r="E7" s="95">
        <f>IF(GradeColor&lt;&gt;0,GradeColor,"")</f>
        <v/>
      </c>
      <c r="F7" s="95" t="n"/>
      <c r="G7" s="92" t="n"/>
      <c r="H7" s="101" t="inlineStr">
        <is>
          <t>4b) Pellets-- Spin 3 mins., Tilt down/up scrape, then spin additional 3 minutes</t>
        </is>
      </c>
      <c r="I7" s="102" t="n"/>
      <c r="J7" s="103" t="n"/>
      <c r="K7" s="103" t="n"/>
      <c r="L7" s="103" t="n"/>
      <c r="M7" s="103" t="n"/>
      <c r="N7" s="103" t="n"/>
      <c r="O7" s="104" t="n"/>
      <c r="P7" s="48" t="n"/>
    </row>
    <row r="8" ht="28.5" customFormat="1" customHeight="1" s="53">
      <c r="C8" s="93" t="n"/>
      <c r="D8" s="90" t="inlineStr">
        <is>
          <t xml:space="preserve">      # of Blends: </t>
        </is>
      </c>
      <c r="E8" s="518">
        <f>IF(IntegerNumBlendsNeeded&lt;&gt;0,IntegerNumBlendsNeeded,"")</f>
        <v/>
      </c>
      <c r="F8" s="95" t="n"/>
      <c r="G8" s="105" t="n"/>
      <c r="H8" s="106" t="n"/>
      <c r="I8" s="94" t="inlineStr">
        <is>
          <t>Pigment adds:  One spin at 1 minute.</t>
        </is>
      </c>
      <c r="J8" s="96" t="n"/>
      <c r="K8" s="96" t="n"/>
      <c r="L8" s="96" t="n"/>
      <c r="M8" s="96" t="n"/>
      <c r="N8" s="96" t="n"/>
      <c r="O8" s="96" t="n"/>
      <c r="P8" s="96" t="n"/>
    </row>
    <row r="9" ht="17.15" customFormat="1" customHeight="1" s="53">
      <c r="C9" s="93" t="n"/>
      <c r="D9" s="50" t="n"/>
      <c r="E9" s="50" t="n"/>
      <c r="F9" s="93" t="n"/>
      <c r="G9" s="93" t="n"/>
      <c r="I9" s="107" t="inlineStr">
        <is>
          <t>Check Dispersion after each spin--notify supervision for irregularities</t>
        </is>
      </c>
      <c r="J9" s="107" t="n"/>
      <c r="K9" s="107" t="n"/>
      <c r="L9" s="108" t="n"/>
      <c r="M9" s="109" t="n"/>
      <c r="N9" s="109" t="n"/>
      <c r="O9" s="107" t="n"/>
      <c r="P9" s="107" t="n"/>
    </row>
    <row r="10" ht="13.5" customFormat="1" customHeight="1" s="53">
      <c r="C10" s="110" t="inlineStr">
        <is>
          <t>Prior to making 1st blend</t>
        </is>
      </c>
      <c r="D10" s="111" t="n"/>
      <c r="E10" s="112" t="n"/>
      <c r="F10" s="113" t="n"/>
      <c r="G10" s="113" t="n"/>
      <c r="H10" s="114" t="n"/>
      <c r="L10" s="93" t="n"/>
      <c r="M10" s="662" t="n"/>
      <c r="N10" s="662" t="n"/>
    </row>
    <row r="11" ht="15" customFormat="1" customHeight="1" s="53">
      <c r="C11" s="115" t="inlineStr">
        <is>
          <t>Verify PIP to R#s and Material</t>
        </is>
      </c>
      <c r="D11" s="116" t="n"/>
      <c r="E11" s="117" t="n"/>
      <c r="F11" s="651" t="inlineStr">
        <is>
          <t>Date &amp; Batch blended by:</t>
        </is>
      </c>
      <c r="G11" s="882" t="n"/>
      <c r="H11" s="883" t="n"/>
      <c r="I11" s="118" t="n"/>
      <c r="J11" s="119" t="n"/>
      <c r="K11" s="120" t="n"/>
      <c r="L11" s="119" t="n"/>
      <c r="M11" s="119" t="n"/>
      <c r="N11" s="120" t="n"/>
      <c r="O11" s="119" t="n"/>
      <c r="P11" s="119" t="n"/>
      <c r="Q11" s="121" t="n"/>
    </row>
    <row r="12" ht="15" customFormat="1" customHeight="1" s="53">
      <c r="C12" s="115" t="inlineStr">
        <is>
          <t>Blender Signoff</t>
        </is>
      </c>
      <c r="D12" s="116" t="n"/>
      <c r="E12" s="117" t="n"/>
      <c r="F12" s="650" t="inlineStr">
        <is>
          <t>Teams :</t>
        </is>
      </c>
      <c r="G12" s="882" t="n"/>
      <c r="H12" s="882" t="n"/>
      <c r="I12" s="617" t="inlineStr">
        <is>
          <t>A       B      C      D</t>
        </is>
      </c>
      <c r="J12" s="883" t="n"/>
      <c r="K12" s="122" t="n"/>
      <c r="L12" s="617" t="inlineStr">
        <is>
          <t>A       B      C      D</t>
        </is>
      </c>
      <c r="M12" s="883" t="n"/>
      <c r="N12" s="122" t="n"/>
      <c r="O12" s="617" t="inlineStr">
        <is>
          <t>A       B      C      D</t>
        </is>
      </c>
      <c r="P12" s="883" t="n"/>
      <c r="Q12" s="662" t="n"/>
    </row>
    <row r="13" ht="12.75" customFormat="1" customHeight="1" s="619">
      <c r="C13" s="124" t="inlineStr">
        <is>
          <t>RM</t>
        </is>
      </c>
      <c r="D13" s="618" t="n"/>
      <c r="F13" s="652" t="inlineStr">
        <is>
          <t>Lbs per</t>
        </is>
      </c>
      <c r="G13" s="126" t="n"/>
      <c r="H13" s="127" t="inlineStr">
        <is>
          <t>Receiver</t>
        </is>
      </c>
      <c r="I13" s="128" t="inlineStr">
        <is>
          <t>Batch #</t>
        </is>
      </c>
      <c r="J13" s="127" t="inlineStr">
        <is>
          <t>Operator</t>
        </is>
      </c>
      <c r="K13" s="129" t="n"/>
      <c r="L13" s="130" t="inlineStr">
        <is>
          <t>Batch #</t>
        </is>
      </c>
      <c r="M13" s="127" t="inlineStr">
        <is>
          <t>Operator</t>
        </is>
      </c>
      <c r="N13" s="129" t="n"/>
      <c r="O13" s="130" t="inlineStr">
        <is>
          <t>Batch #</t>
        </is>
      </c>
      <c r="P13" s="127" t="inlineStr">
        <is>
          <t>Operator</t>
        </is>
      </c>
      <c r="Q13" s="131" t="inlineStr">
        <is>
          <t xml:space="preserve"> </t>
        </is>
      </c>
    </row>
    <row r="14" ht="13" customFormat="1" customHeight="1" s="619" thickBot="1">
      <c r="C14" s="124" t="inlineStr">
        <is>
          <t>Parts</t>
        </is>
      </c>
      <c r="D14" s="652" t="inlineStr">
        <is>
          <t>RM desc.</t>
        </is>
      </c>
      <c r="F14" s="652" t="inlineStr">
        <is>
          <t>Batch</t>
        </is>
      </c>
      <c r="G14" s="126" t="n"/>
      <c r="H14" s="127" t="inlineStr">
        <is>
          <t>Number(s)</t>
        </is>
      </c>
      <c r="I14" s="127" t="inlineStr">
        <is>
          <t>Weigh-up lbs</t>
        </is>
      </c>
      <c r="J14" s="127" t="inlineStr">
        <is>
          <t>check off</t>
        </is>
      </c>
      <c r="K14" s="132" t="n"/>
      <c r="L14" s="127" t="inlineStr">
        <is>
          <t>Weigh-up lbs</t>
        </is>
      </c>
      <c r="M14" s="127" t="inlineStr">
        <is>
          <t>check off</t>
        </is>
      </c>
      <c r="N14" s="132" t="n"/>
      <c r="O14" s="127" t="inlineStr">
        <is>
          <t>Weigh-up lbs</t>
        </is>
      </c>
      <c r="P14" s="127" t="inlineStr">
        <is>
          <t>check off</t>
        </is>
      </c>
      <c r="Q14" s="618" t="inlineStr">
        <is>
          <t xml:space="preserve"> </t>
        </is>
      </c>
    </row>
    <row r="15" ht="20.15" customFormat="1" customHeight="1" s="619" thickBot="1">
      <c r="C15" s="884" t="inlineStr">
        <is>
          <t>#1</t>
        </is>
      </c>
      <c r="D15" s="885">
        <f>IF(F16="","",IF(F16&gt;30,F16+0.5,F16+0.005))</f>
        <v/>
      </c>
      <c r="E15" s="136" t="inlineStr">
        <is>
          <t>Max</t>
        </is>
      </c>
      <c r="F15" s="137">
        <f>IF(AND(F16&lt;0.1,F16&gt;0),"WIL"," ")</f>
        <v/>
      </c>
      <c r="G15" s="138" t="n"/>
      <c r="H15" s="139" t="n"/>
      <c r="I15" s="140" t="n"/>
      <c r="J15" s="141" t="n"/>
      <c r="L15" s="142" t="n"/>
      <c r="M15" s="141" t="n"/>
      <c r="N15" s="143" t="n"/>
      <c r="O15" s="142" t="n"/>
      <c r="P15" s="141" t="n"/>
    </row>
    <row r="16" ht="20.15" customFormat="1" customHeight="1" s="619" thickBot="1">
      <c r="C16" s="886">
        <f>Blend01Parts</f>
        <v/>
      </c>
      <c r="D16" s="887">
        <f>Blend01RMname</f>
        <v/>
      </c>
      <c r="E16" s="888" t="n"/>
      <c r="F16" s="889">
        <f>IF(C16="","",IF((C16/$C$63*$F$63)&lt;30,ROUND(C16/$C$63*$F$63,3),FIXED(C16/$C$63*$F$63,2)))</f>
        <v/>
      </c>
      <c r="G16" s="145">
        <f>IF(AND(F15&lt;0.11,F15&gt;0),"GR"," ")</f>
        <v/>
      </c>
      <c r="H16" s="139" t="n"/>
      <c r="I16" s="146" t="n"/>
      <c r="J16" s="147" t="n"/>
      <c r="L16" s="148" t="n"/>
      <c r="M16" s="147" t="n"/>
      <c r="N16" s="143" t="n"/>
      <c r="O16" s="890" t="n"/>
      <c r="P16" s="147" t="n"/>
    </row>
    <row r="17" ht="20.15" customFormat="1" customHeight="1" s="619" thickBot="1">
      <c r="C17" s="891" t="n"/>
      <c r="D17" s="892">
        <f>IF(F16="","",IF(F16&gt;30,F16-0.5,F16-0.005))</f>
        <v/>
      </c>
      <c r="E17" s="151" t="inlineStr">
        <is>
          <t>Min</t>
        </is>
      </c>
      <c r="F17" s="152">
        <f>IF(AND(F16&lt;0.11,F16&gt;0),ROUND(454*F16,2)," ")</f>
        <v/>
      </c>
      <c r="G17" s="153">
        <f>IF(AND(F16&lt;0.11,F16&gt;0),"GR"," ")</f>
        <v/>
      </c>
      <c r="H17" s="139" t="n"/>
      <c r="I17" s="154" t="n"/>
      <c r="J17" s="155" t="n"/>
      <c r="L17" s="156" t="n"/>
      <c r="M17" s="155" t="n"/>
      <c r="N17" s="143" t="n"/>
      <c r="O17" s="157" t="n"/>
      <c r="P17" s="155" t="n"/>
    </row>
    <row r="18" ht="20.15" customFormat="1" customHeight="1" s="619" thickBot="1">
      <c r="C18" s="893" t="inlineStr">
        <is>
          <t>#2</t>
        </is>
      </c>
      <c r="D18" s="885">
        <f>IF(F19="","",IF(F19&gt;30,F19+0.5,F19+0.005))</f>
        <v/>
      </c>
      <c r="E18" s="159" t="inlineStr">
        <is>
          <t>Max</t>
        </is>
      </c>
      <c r="F18" s="137">
        <f>IF(AND(F19&lt;0.1,F19&gt;0),"WIL"," ")</f>
        <v/>
      </c>
      <c r="G18" s="138" t="n"/>
      <c r="H18" s="139" t="n"/>
      <c r="I18" s="140" t="n"/>
      <c r="J18" s="141" t="n"/>
      <c r="L18" s="142" t="n"/>
      <c r="M18" s="141" t="n"/>
      <c r="O18" s="142" t="n"/>
      <c r="P18" s="141" t="n"/>
    </row>
    <row r="19" ht="20.15" customFormat="1" customHeight="1" s="619" thickBot="1">
      <c r="C19" s="886">
        <f>Blend02Parts</f>
        <v/>
      </c>
      <c r="D19" s="887">
        <f>Blend02RMname</f>
        <v/>
      </c>
      <c r="E19" s="888" t="n"/>
      <c r="F19" s="889">
        <f>IF(C19="","",IF((C19/$C$63*$F$63)&lt;30,ROUND(C19/$C$63*$F$63,3),FIXED(C19/$C$63*$F$63,2)))</f>
        <v/>
      </c>
      <c r="G19" s="145">
        <f>IF(AND(F18&lt;0.11,F18&gt;0),"GR"," ")</f>
        <v/>
      </c>
      <c r="H19" s="139" t="n"/>
      <c r="I19" s="146" t="n"/>
      <c r="J19" s="147" t="n"/>
      <c r="L19" s="148" t="n"/>
      <c r="M19" s="147" t="n"/>
      <c r="O19" s="148" t="n"/>
      <c r="P19" s="147" t="n"/>
    </row>
    <row r="20" ht="20.15" customFormat="1" customHeight="1" s="619" thickBot="1">
      <c r="C20" s="891" t="n"/>
      <c r="D20" s="892">
        <f>IF(F19="","",IF(F19&gt;30,F19-0.5,F19-0.005))</f>
        <v/>
      </c>
      <c r="E20" s="160" t="inlineStr">
        <is>
          <t>Min</t>
        </is>
      </c>
      <c r="F20" s="152">
        <f>IF(AND(F19&lt;0.11,F19&gt;0),ROUND(454*F19,2)," ")</f>
        <v/>
      </c>
      <c r="G20" s="153">
        <f>IF(AND(F19&lt;0.11,F19&gt;0),"GR"," ")</f>
        <v/>
      </c>
      <c r="H20" s="139" t="n"/>
      <c r="I20" s="154" t="n"/>
      <c r="J20" s="155" t="n"/>
      <c r="L20" s="156" t="n"/>
      <c r="M20" s="155" t="n"/>
      <c r="O20" s="157" t="n"/>
      <c r="P20" s="155" t="n"/>
    </row>
    <row r="21" ht="20.15" customFormat="1" customHeight="1" s="619" thickBot="1">
      <c r="C21" s="893" t="inlineStr">
        <is>
          <t>#3</t>
        </is>
      </c>
      <c r="D21" s="885">
        <f>IF(F22="","",IF(F22&gt;30,F22+0.5,F22+0.005))</f>
        <v/>
      </c>
      <c r="E21" s="159" t="inlineStr">
        <is>
          <t>Max</t>
        </is>
      </c>
      <c r="F21" s="137">
        <f>IF(AND(F22&lt;0.1,F22&gt;0),"WIL"," ")</f>
        <v/>
      </c>
      <c r="G21" s="138" t="n"/>
      <c r="H21" s="139" t="n"/>
      <c r="I21" s="140" t="n"/>
      <c r="J21" s="141" t="n"/>
      <c r="L21" s="142" t="n"/>
      <c r="M21" s="141" t="n"/>
      <c r="N21" s="143" t="n"/>
      <c r="O21" s="142" t="n"/>
      <c r="P21" s="141" t="n"/>
    </row>
    <row r="22" ht="20.15" customFormat="1" customHeight="1" s="619" thickBot="1">
      <c r="C22" s="886">
        <f>Blend03Parts</f>
        <v/>
      </c>
      <c r="D22" s="887">
        <f>Blend03RMname</f>
        <v/>
      </c>
      <c r="E22" s="888" t="n"/>
      <c r="F22" s="889">
        <f>IF(C22="","",IF((C22/$C$63*$F$63)&lt;30,ROUND(C22/$C$63*$F$63,3),FIXED(C22/$C$63*$F$63,2)))</f>
        <v/>
      </c>
      <c r="G22" s="145">
        <f>IF(AND(F21&lt;0.11,F21&gt;0),"GR"," ")</f>
        <v/>
      </c>
      <c r="H22" s="139" t="n"/>
      <c r="I22" s="146" t="n"/>
      <c r="J22" s="147" t="n"/>
      <c r="L22" s="148" t="n"/>
      <c r="M22" s="147" t="n"/>
      <c r="N22" s="143" t="n"/>
      <c r="O22" s="148" t="n"/>
      <c r="P22" s="147" t="n"/>
    </row>
    <row r="23" ht="20.15" customFormat="1" customHeight="1" s="619" thickBot="1">
      <c r="C23" s="891" t="n"/>
      <c r="D23" s="892">
        <f>IF(F22="","",IF(F22&gt;30,F22-0.5,F22-0.005))</f>
        <v/>
      </c>
      <c r="E23" s="160" t="inlineStr">
        <is>
          <t>Min</t>
        </is>
      </c>
      <c r="F23" s="152">
        <f>IF(AND(F22&lt;0.11,F22&gt;0),ROUND(454*F22,2)," ")</f>
        <v/>
      </c>
      <c r="G23" s="153">
        <f>IF(AND(F22&lt;0.11,F22&gt;0),"GR"," ")</f>
        <v/>
      </c>
      <c r="H23" s="139" t="n"/>
      <c r="I23" s="154" t="n"/>
      <c r="J23" s="155" t="n"/>
      <c r="L23" s="156" t="n"/>
      <c r="M23" s="155" t="n"/>
      <c r="N23" s="143" t="n"/>
      <c r="O23" s="157" t="n"/>
      <c r="P23" s="155" t="n"/>
    </row>
    <row r="24" ht="20.15" customFormat="1" customHeight="1" s="619" thickBot="1">
      <c r="C24" s="893" t="inlineStr">
        <is>
          <t>#4</t>
        </is>
      </c>
      <c r="D24" s="885">
        <f>IF(F25="","",IF(F25&gt;30,F25+0.5,F25+0.005))</f>
        <v/>
      </c>
      <c r="E24" s="159" t="inlineStr">
        <is>
          <t>Max</t>
        </is>
      </c>
      <c r="F24" s="137">
        <f>IF(AND(F25&lt;0.1,F25&gt;0),"WIL"," ")</f>
        <v/>
      </c>
      <c r="G24" s="138" t="n"/>
      <c r="H24" s="139" t="n"/>
      <c r="I24" s="140" t="n"/>
      <c r="J24" s="141" t="n"/>
      <c r="L24" s="142" t="n"/>
      <c r="M24" s="141" t="n"/>
      <c r="N24" s="143" t="n"/>
      <c r="O24" s="142" t="n"/>
      <c r="P24" s="141" t="n"/>
    </row>
    <row r="25" ht="20.15" customFormat="1" customHeight="1" s="619" thickBot="1">
      <c r="C25" s="886">
        <f>Blend04Parts</f>
        <v/>
      </c>
      <c r="D25" s="887">
        <f>Blend04RMname</f>
        <v/>
      </c>
      <c r="E25" s="888" t="n"/>
      <c r="F25" s="889">
        <f>IF(C25="","",IF((C25/$C$63*$F$63)&lt;30,ROUND(C25/$C$63*$F$63,3),FIXED(C25/$C$63*$F$63,2)))</f>
        <v/>
      </c>
      <c r="G25" s="145">
        <f>IF(AND(F24&lt;0.11,F24&gt;0),"GR"," ")</f>
        <v/>
      </c>
      <c r="H25" s="139" t="n"/>
      <c r="I25" s="146" t="n"/>
      <c r="J25" s="147" t="n"/>
      <c r="L25" s="148" t="n"/>
      <c r="M25" s="147" t="n"/>
      <c r="N25" s="143" t="n"/>
      <c r="O25" s="148" t="n"/>
      <c r="P25" s="147" t="n"/>
    </row>
    <row r="26" ht="19.5" customFormat="1" customHeight="1" s="619" thickBot="1">
      <c r="C26" s="891" t="n"/>
      <c r="D26" s="892">
        <f>IF(F25="","",IF(F25&gt;30,F25-0.5,F25-0.005))</f>
        <v/>
      </c>
      <c r="E26" s="160" t="inlineStr">
        <is>
          <t>Min</t>
        </is>
      </c>
      <c r="F26" s="152">
        <f>IF(AND(F25&lt;0.11,F25&gt;0),ROUND(454*F25,2)," ")</f>
        <v/>
      </c>
      <c r="G26" s="153">
        <f>IF(AND(F25&lt;0.11,F25&gt;0),"GR"," ")</f>
        <v/>
      </c>
      <c r="H26" s="139" t="n"/>
      <c r="I26" s="154" t="n"/>
      <c r="J26" s="155" t="n"/>
      <c r="L26" s="156" t="n"/>
      <c r="M26" s="155" t="n"/>
      <c r="N26" s="143" t="n"/>
      <c r="O26" s="157" t="n"/>
      <c r="P26" s="155" t="n"/>
    </row>
    <row r="27" ht="20.15" customFormat="1" customHeight="1" s="619" thickBot="1">
      <c r="C27" s="893" t="inlineStr">
        <is>
          <t>#5</t>
        </is>
      </c>
      <c r="D27" s="885">
        <f>IF(F28="","",IF(F28&gt;30,F28+0.5,F28+0.005))</f>
        <v/>
      </c>
      <c r="E27" s="161" t="inlineStr">
        <is>
          <t>Max</t>
        </is>
      </c>
      <c r="F27" s="162">
        <f>IF(AND(F28&lt;0.1,F28&gt;0),"WIL"," ")</f>
        <v/>
      </c>
      <c r="G27" s="138" t="n"/>
      <c r="H27" s="139" t="n"/>
      <c r="I27" s="140" t="n"/>
      <c r="J27" s="141" t="n"/>
      <c r="L27" s="142" t="n"/>
      <c r="M27" s="141" t="n"/>
      <c r="N27" s="143" t="n"/>
      <c r="O27" s="142" t="n"/>
      <c r="P27" s="141" t="n"/>
    </row>
    <row r="28" ht="20.15" customFormat="1" customHeight="1" s="619" thickBot="1">
      <c r="C28" s="886">
        <f>Blend05Parts</f>
        <v/>
      </c>
      <c r="D28" s="887">
        <f>Blend05RMname</f>
        <v/>
      </c>
      <c r="E28" s="888" t="n"/>
      <c r="F28" s="889">
        <f>IF(C28="","",IF((C28/$C$63*$F$63)&lt;30,ROUND(C28/$C$63*$F$63,3),FIXED(C28/$C$63*$F$63,2)))</f>
        <v/>
      </c>
      <c r="G28" s="145">
        <f>IF(AND(F27&lt;0.11,F27&gt;0),"GR"," ")</f>
        <v/>
      </c>
      <c r="H28" s="139" t="n"/>
      <c r="I28" s="146" t="n"/>
      <c r="J28" s="147" t="n"/>
      <c r="L28" s="148" t="n"/>
      <c r="M28" s="147" t="n"/>
      <c r="N28" s="143" t="n"/>
      <c r="O28" s="148" t="n"/>
      <c r="P28" s="147" t="n"/>
    </row>
    <row r="29" ht="20.15" customFormat="1" customHeight="1" s="619" thickBot="1">
      <c r="C29" s="891" t="n"/>
      <c r="D29" s="892">
        <f>IF(F28="","",IF(F28&gt;30,F28-0.5,F28-0.005))</f>
        <v/>
      </c>
      <c r="E29" s="163" t="inlineStr">
        <is>
          <t>Min</t>
        </is>
      </c>
      <c r="F29" s="164">
        <f>IF(AND(F28&lt;0.11,F28&gt;0),ROUND(454*F28,2)," ")</f>
        <v/>
      </c>
      <c r="G29" s="153">
        <f>IF(AND(F28&lt;0.11,F28&gt;0),"GR"," ")</f>
        <v/>
      </c>
      <c r="H29" s="139" t="n"/>
      <c r="I29" s="154" t="n"/>
      <c r="J29" s="155" t="n"/>
      <c r="L29" s="156" t="n"/>
      <c r="M29" s="155" t="n"/>
      <c r="N29" s="143" t="n"/>
      <c r="O29" s="157" t="n"/>
      <c r="P29" s="155" t="n"/>
    </row>
    <row r="30" ht="20.15" customFormat="1" customHeight="1" s="619" thickBot="1">
      <c r="C30" s="893" t="inlineStr">
        <is>
          <t>#6</t>
        </is>
      </c>
      <c r="D30" s="885">
        <f>IF(F31="","",IF(F31&gt;30,F31+0.5,F31+0.005))</f>
        <v/>
      </c>
      <c r="E30" s="161" t="inlineStr">
        <is>
          <t>Max</t>
        </is>
      </c>
      <c r="F30" s="162">
        <f>IF(AND(F31&lt;0.1,F31&gt;0),"WIL"," ")</f>
        <v/>
      </c>
      <c r="G30" s="138" t="n"/>
      <c r="H30" s="139" t="n"/>
      <c r="I30" s="140" t="n"/>
      <c r="J30" s="141" t="n"/>
      <c r="L30" s="142" t="n"/>
      <c r="M30" s="141" t="n"/>
      <c r="N30" s="143" t="n"/>
      <c r="O30" s="142" t="n"/>
      <c r="P30" s="141" t="n"/>
    </row>
    <row r="31" ht="20.15" customFormat="1" customHeight="1" s="619" thickBot="1">
      <c r="C31" s="886">
        <f>Blend06Parts</f>
        <v/>
      </c>
      <c r="D31" s="887">
        <f>Blend06RMname</f>
        <v/>
      </c>
      <c r="E31" s="888" t="n"/>
      <c r="F31" s="889">
        <f>IF(C31="","",IF((C31/$C$63*$F$63)&lt;30,ROUND(C31/$C$63*$F$63,3),FIXED(C31/$C$63*$F$63,2)))</f>
        <v/>
      </c>
      <c r="G31" s="145">
        <f>IF(AND(F30&lt;0.11,F30&gt;0),"GR"," ")</f>
        <v/>
      </c>
      <c r="H31" s="139" t="n"/>
      <c r="I31" s="146" t="n"/>
      <c r="J31" s="147" t="n"/>
      <c r="L31" s="148" t="n"/>
      <c r="M31" s="147" t="n"/>
      <c r="N31" s="143" t="n"/>
      <c r="O31" s="148" t="n"/>
      <c r="P31" s="147" t="n"/>
    </row>
    <row r="32" ht="20.15" customFormat="1" customHeight="1" s="619" thickBot="1">
      <c r="C32" s="891" t="n"/>
      <c r="D32" s="892">
        <f>IF(F31="","",IF(F31&gt;30,F31-0.5,F31-0.005))</f>
        <v/>
      </c>
      <c r="E32" s="163" t="inlineStr">
        <is>
          <t>Min</t>
        </is>
      </c>
      <c r="F32" s="164">
        <f>IF(AND(F31&lt;0.11,F31&gt;0),ROUND(454*F31,2)," ")</f>
        <v/>
      </c>
      <c r="G32" s="153">
        <f>IF(AND(F31&lt;0.11,F31&gt;0),"GR"," ")</f>
        <v/>
      </c>
      <c r="H32" s="139" t="n"/>
      <c r="I32" s="154" t="n"/>
      <c r="J32" s="155" t="n"/>
      <c r="L32" s="156" t="n"/>
      <c r="M32" s="155" t="n"/>
      <c r="N32" s="143" t="n"/>
      <c r="O32" s="157" t="n"/>
      <c r="P32" s="155" t="n"/>
    </row>
    <row r="33" ht="20.15" customFormat="1" customHeight="1" s="619" thickBot="1">
      <c r="C33" s="893" t="inlineStr">
        <is>
          <t>#7</t>
        </is>
      </c>
      <c r="D33" s="885">
        <f>IF(F34="","",IF(F34&gt;30,F34+0.5,F34+0.005))</f>
        <v/>
      </c>
      <c r="E33" s="161" t="inlineStr">
        <is>
          <t>Max</t>
        </is>
      </c>
      <c r="F33" s="162">
        <f>IF(AND(F34&lt;0.1,F34&gt;0),"WIL"," ")</f>
        <v/>
      </c>
      <c r="G33" s="138" t="n"/>
      <c r="H33" s="139" t="n"/>
      <c r="I33" s="140" t="n"/>
      <c r="J33" s="141" t="n"/>
      <c r="L33" s="142" t="n"/>
      <c r="M33" s="141" t="n"/>
      <c r="N33" s="143" t="n"/>
      <c r="O33" s="142" t="n"/>
      <c r="P33" s="141" t="n"/>
    </row>
    <row r="34" ht="20.15" customFormat="1" customHeight="1" s="619" thickBot="1">
      <c r="C34" s="886">
        <f>Blend07Parts</f>
        <v/>
      </c>
      <c r="D34" s="887">
        <f>Blend07RMname</f>
        <v/>
      </c>
      <c r="E34" s="888" t="n"/>
      <c r="F34" s="889">
        <f>IF(C34="","",IF((C34/$C$63*$F$63)&lt;30,ROUND(C34/$C$63*$F$63,3),FIXED(C34/$C$63*$F$63,2)))</f>
        <v/>
      </c>
      <c r="G34" s="145">
        <f>IF(AND(F33&lt;0.11,F33&gt;0),"GR"," ")</f>
        <v/>
      </c>
      <c r="H34" s="139" t="n"/>
      <c r="I34" s="146" t="n"/>
      <c r="J34" s="147" t="n"/>
      <c r="L34" s="148" t="n"/>
      <c r="M34" s="147" t="n"/>
      <c r="N34" s="143" t="n"/>
      <c r="O34" s="148" t="n"/>
      <c r="P34" s="147" t="n"/>
    </row>
    <row r="35" ht="20.15" customFormat="1" customHeight="1" s="619" thickBot="1">
      <c r="C35" s="891" t="n"/>
      <c r="D35" s="892">
        <f>IF(F34="","",IF(F34&gt;30,F34-0.5,F34-0.005))</f>
        <v/>
      </c>
      <c r="E35" s="163" t="inlineStr">
        <is>
          <t>Min</t>
        </is>
      </c>
      <c r="F35" s="164">
        <f>IF(AND(F34&lt;0.11,F34&gt;0),ROUND(454*F34,2)," ")</f>
        <v/>
      </c>
      <c r="G35" s="153">
        <f>IF(AND(F34&lt;0.11,F34&gt;0),"GR"," ")</f>
        <v/>
      </c>
      <c r="H35" s="139" t="n"/>
      <c r="I35" s="154" t="n"/>
      <c r="J35" s="155" t="n"/>
      <c r="L35" s="156" t="n"/>
      <c r="M35" s="155" t="n"/>
      <c r="N35" s="143" t="n"/>
      <c r="O35" s="157" t="n"/>
      <c r="P35" s="155" t="n"/>
    </row>
    <row r="36" ht="20.15" customFormat="1" customHeight="1" s="619" thickBot="1">
      <c r="C36" s="893" t="inlineStr">
        <is>
          <t>#8</t>
        </is>
      </c>
      <c r="D36" s="885">
        <f>IF(F37="","",IF(F37&gt;30,F37+0.5,F37+0.005))</f>
        <v/>
      </c>
      <c r="E36" s="161" t="inlineStr">
        <is>
          <t>Max</t>
        </is>
      </c>
      <c r="F36" s="162">
        <f>IF(AND(F37&lt;0.1,F37&gt;0),"WIL"," ")</f>
        <v/>
      </c>
      <c r="G36" s="138" t="n"/>
      <c r="H36" s="139" t="n"/>
      <c r="I36" s="140" t="n"/>
      <c r="J36" s="141" t="n"/>
      <c r="L36" s="142" t="n"/>
      <c r="M36" s="141" t="n"/>
      <c r="N36" s="143" t="n"/>
      <c r="O36" s="142" t="n"/>
      <c r="P36" s="141" t="n"/>
    </row>
    <row r="37" ht="20.15" customFormat="1" customHeight="1" s="619" thickBot="1">
      <c r="C37" s="886">
        <f>Blend08Parts</f>
        <v/>
      </c>
      <c r="D37" s="887">
        <f>Blend08RMname</f>
        <v/>
      </c>
      <c r="E37" s="888" t="n"/>
      <c r="F37" s="889">
        <f>IF(C37="","",IF((C37/$C$63*$F$63)&lt;30,ROUND(C37/$C$63*$F$63,3),FIXED(C37/$C$63*$F$63,2)))</f>
        <v/>
      </c>
      <c r="G37" s="145">
        <f>IF(AND(F36&lt;0.11,F36&gt;0),"GR"," ")</f>
        <v/>
      </c>
      <c r="H37" s="139" t="n"/>
      <c r="I37" s="146" t="n"/>
      <c r="J37" s="147" t="n"/>
      <c r="L37" s="148" t="n"/>
      <c r="M37" s="147" t="n"/>
      <c r="N37" s="143" t="n"/>
      <c r="O37" s="148" t="n"/>
      <c r="P37" s="147" t="n"/>
    </row>
    <row r="38" ht="20.15" customFormat="1" customHeight="1" s="619" thickBot="1">
      <c r="C38" s="891" t="n"/>
      <c r="D38" s="892">
        <f>IF(F37="","",IF(F37&gt;30,F37-0.5,F37-0.005))</f>
        <v/>
      </c>
      <c r="E38" s="163" t="inlineStr">
        <is>
          <t>Min</t>
        </is>
      </c>
      <c r="F38" s="164">
        <f>IF(AND(F37&lt;0.11,F37&gt;0),ROUND(454*F37,2)," ")</f>
        <v/>
      </c>
      <c r="G38" s="153">
        <f>IF(AND(F37&lt;0.11,F37&gt;0),"GR"," ")</f>
        <v/>
      </c>
      <c r="H38" s="139" t="n"/>
      <c r="I38" s="154" t="n"/>
      <c r="J38" s="155" t="n"/>
      <c r="L38" s="156" t="n"/>
      <c r="M38" s="155" t="n"/>
      <c r="N38" s="143" t="n"/>
      <c r="O38" s="157" t="n"/>
      <c r="P38" s="155" t="n"/>
    </row>
    <row r="39" ht="20.15" customFormat="1" customHeight="1" s="619" thickBot="1">
      <c r="C39" s="893" t="inlineStr">
        <is>
          <t>#9</t>
        </is>
      </c>
      <c r="D39" s="885">
        <f>IF(F40="","",IF(F40&gt;30,F40+0.5,F40+0.005))</f>
        <v/>
      </c>
      <c r="E39" s="161" t="inlineStr">
        <is>
          <t>Max</t>
        </is>
      </c>
      <c r="F39" s="162">
        <f>IF(AND(F40&lt;0.1,F40&gt;0),"WIL"," ")</f>
        <v/>
      </c>
      <c r="G39" s="138" t="n"/>
      <c r="H39" s="139" t="n"/>
      <c r="I39" s="140" t="n"/>
      <c r="J39" s="141" t="n"/>
      <c r="L39" s="142" t="n"/>
      <c r="M39" s="141" t="n"/>
      <c r="N39" s="143" t="n"/>
      <c r="O39" s="142" t="n"/>
      <c r="P39" s="141" t="n"/>
    </row>
    <row r="40" ht="20.15" customFormat="1" customHeight="1" s="619" thickBot="1">
      <c r="C40" s="886">
        <f>Blend09Parts</f>
        <v/>
      </c>
      <c r="D40" s="887">
        <f>Blend09RMname</f>
        <v/>
      </c>
      <c r="E40" s="888" t="n"/>
      <c r="F40" s="889">
        <f>IF(C40="","",IF((C40/$C$63*$F$63)&lt;30,ROUND(C40/$C$63*$F$63,3),FIXED(C40/$C$63*$F$63,2)))</f>
        <v/>
      </c>
      <c r="G40" s="145">
        <f>IF(AND(F39&lt;0.11,F39&gt;0),"GR"," ")</f>
        <v/>
      </c>
      <c r="H40" s="139" t="n"/>
      <c r="I40" s="146" t="n"/>
      <c r="J40" s="147" t="n"/>
      <c r="L40" s="148" t="n"/>
      <c r="M40" s="147" t="n"/>
      <c r="N40" s="143" t="n"/>
      <c r="O40" s="148" t="n"/>
      <c r="P40" s="147" t="n"/>
    </row>
    <row r="41" ht="20.15" customFormat="1" customHeight="1" s="619" thickBot="1">
      <c r="C41" s="891" t="n"/>
      <c r="D41" s="892">
        <f>IF(F40="","",IF(F40&gt;30,F40-0.5,F40-0.005))</f>
        <v/>
      </c>
      <c r="E41" s="163" t="inlineStr">
        <is>
          <t>Min</t>
        </is>
      </c>
      <c r="F41" s="164">
        <f>IF(AND(F40&lt;0.11,F40&gt;0),ROUND(454*F40,2)," ")</f>
        <v/>
      </c>
      <c r="G41" s="153">
        <f>IF(AND(F40&lt;0.11,F40&gt;0),"GR"," ")</f>
        <v/>
      </c>
      <c r="H41" s="139" t="n"/>
      <c r="I41" s="154" t="n"/>
      <c r="J41" s="155" t="n"/>
      <c r="L41" s="157" t="n"/>
      <c r="M41" s="155" t="n"/>
      <c r="N41" s="143" t="n"/>
      <c r="O41" s="157" t="n"/>
      <c r="P41" s="155" t="n"/>
    </row>
    <row r="42" ht="20.15" customFormat="1" customHeight="1" s="619" thickBot="1">
      <c r="C42" s="893" t="inlineStr">
        <is>
          <t>#10</t>
        </is>
      </c>
      <c r="D42" s="885">
        <f>IF(F43="","",IF(F43&gt;30,F43+0.5,F43+0.005))</f>
        <v/>
      </c>
      <c r="E42" s="161" t="inlineStr">
        <is>
          <t>Max</t>
        </is>
      </c>
      <c r="F42" s="162">
        <f>IF(AND(F43&lt;0.1,F43&gt;0),"WIL"," ")</f>
        <v/>
      </c>
      <c r="G42" s="138" t="n"/>
      <c r="H42" s="139" t="n"/>
      <c r="I42" s="140" t="n"/>
      <c r="J42" s="141" t="n"/>
      <c r="L42" s="142" t="n"/>
      <c r="M42" s="141" t="n"/>
      <c r="N42" s="143" t="n"/>
      <c r="O42" s="142" t="n"/>
      <c r="P42" s="141" t="n"/>
    </row>
    <row r="43" ht="20.15" customFormat="1" customHeight="1" s="167" thickBot="1">
      <c r="C43" s="886">
        <f>Blend10Parts</f>
        <v/>
      </c>
      <c r="D43" s="887">
        <f>Blend10RMname</f>
        <v/>
      </c>
      <c r="E43" s="888" t="n"/>
      <c r="F43" s="889">
        <f>IF(C43="","",IF((C43/$C$63*$F$63)&lt;30,ROUND(C43/$C$63*$F$63,3),FIXED(C43/$C$63*$F$63,2)))</f>
        <v/>
      </c>
      <c r="G43" s="145">
        <f>IF(AND(F42&lt;0.11,F42&gt;0),"GR"," ")</f>
        <v/>
      </c>
      <c r="H43" s="139" t="n"/>
      <c r="I43" s="146" t="n"/>
      <c r="J43" s="147" t="n"/>
      <c r="K43" s="165" t="n"/>
      <c r="L43" s="148" t="n"/>
      <c r="M43" s="147" t="n"/>
      <c r="N43" s="166" t="n"/>
      <c r="O43" s="148" t="n"/>
      <c r="P43" s="147" t="n"/>
      <c r="Q43" s="165" t="n"/>
    </row>
    <row r="44" ht="20.15" customFormat="1" customHeight="1" s="167" thickBot="1">
      <c r="C44" s="891" t="n"/>
      <c r="D44" s="892">
        <f>IF(F43="","",IF(F43&gt;30,F43-0.5,F43-0.005))</f>
        <v/>
      </c>
      <c r="E44" s="163" t="inlineStr">
        <is>
          <t>Min</t>
        </is>
      </c>
      <c r="F44" s="164">
        <f>IF(AND(F43&lt;0.11,F43&gt;0),ROUND(454*F43,2)," ")</f>
        <v/>
      </c>
      <c r="G44" s="153">
        <f>IF(AND(F43&lt;0.11,F43&gt;0),"GR"," ")</f>
        <v/>
      </c>
      <c r="H44" s="139" t="n"/>
      <c r="I44" s="154" t="n"/>
      <c r="J44" s="155" t="n"/>
      <c r="K44" s="165" t="n"/>
      <c r="L44" s="157" t="n"/>
      <c r="M44" s="155" t="n"/>
      <c r="N44" s="166" t="n"/>
      <c r="O44" s="157" t="n"/>
      <c r="P44" s="155" t="n"/>
      <c r="Q44" s="165" t="n"/>
    </row>
    <row r="45" ht="20.15" customFormat="1" customHeight="1" s="167" thickBot="1">
      <c r="C45" s="893" t="inlineStr">
        <is>
          <t>#11</t>
        </is>
      </c>
      <c r="D45" s="885">
        <f>IF(F46="","",IF(F46&gt;30,F46+0.5,F46+0.005))</f>
        <v/>
      </c>
      <c r="E45" s="161" t="inlineStr">
        <is>
          <t>Max</t>
        </is>
      </c>
      <c r="F45" s="162">
        <f>IF(AND(F46&lt;0.1,F46&gt;0),"WIL"," ")</f>
        <v/>
      </c>
      <c r="G45" s="138" t="n"/>
      <c r="H45" s="139" t="n"/>
      <c r="I45" s="140" t="n"/>
      <c r="J45" s="141" t="n"/>
      <c r="K45" s="165" t="n"/>
      <c r="L45" s="142" t="n"/>
      <c r="M45" s="141" t="n"/>
      <c r="N45" s="166" t="n"/>
      <c r="O45" s="142" t="n"/>
      <c r="P45" s="141" t="n"/>
      <c r="Q45" s="165" t="n"/>
    </row>
    <row r="46" ht="20.15" customFormat="1" customHeight="1" s="167" thickBot="1">
      <c r="C46" s="886">
        <f>Blend11Parts</f>
        <v/>
      </c>
      <c r="D46" s="887">
        <f>Blend11RMname</f>
        <v/>
      </c>
      <c r="E46" s="888" t="n"/>
      <c r="F46" s="889">
        <f>IF(C46="","",IF((C46/$C$63*$F$63)&lt;30,ROUND(C46/$C$63*$F$63,3),FIXED(C46/$C$63*$F$63,2)))</f>
        <v/>
      </c>
      <c r="G46" s="145">
        <f>IF(AND(F45&lt;0.11,F45&gt;0),"GR"," ")</f>
        <v/>
      </c>
      <c r="H46" s="139" t="n"/>
      <c r="I46" s="146" t="n"/>
      <c r="J46" s="147" t="n"/>
      <c r="K46" s="165" t="n"/>
      <c r="L46" s="148" t="n"/>
      <c r="M46" s="147" t="n"/>
      <c r="N46" s="166" t="n"/>
      <c r="O46" s="148" t="n"/>
      <c r="P46" s="147" t="n"/>
      <c r="Q46" s="165" t="n"/>
    </row>
    <row r="47" ht="20.15" customFormat="1" customHeight="1" s="167" thickBot="1">
      <c r="C47" s="891" t="n"/>
      <c r="D47" s="892">
        <f>IF(F46="","",IF(F46&gt;30,F46-0.5,F46-0.005))</f>
        <v/>
      </c>
      <c r="E47" s="163" t="inlineStr">
        <is>
          <t>Min</t>
        </is>
      </c>
      <c r="F47" s="164">
        <f>IF(AND(F46&lt;0.11,F46&gt;0),ROUND(454*F46,2)," ")</f>
        <v/>
      </c>
      <c r="G47" s="153">
        <f>IF(AND(F46&lt;0.11,F46&gt;0),"GR"," ")</f>
        <v/>
      </c>
      <c r="H47" s="139" t="n"/>
      <c r="I47" s="154" t="n"/>
      <c r="J47" s="155" t="n"/>
      <c r="K47" s="165" t="n"/>
      <c r="L47" s="157" t="n"/>
      <c r="M47" s="155" t="n"/>
      <c r="N47" s="166" t="n"/>
      <c r="O47" s="157" t="n"/>
      <c r="P47" s="155" t="n"/>
      <c r="Q47" s="165" t="n"/>
    </row>
    <row r="48" ht="20.15" customFormat="1" customHeight="1" s="167" thickBot="1">
      <c r="C48" s="893" t="inlineStr">
        <is>
          <t>#12</t>
        </is>
      </c>
      <c r="D48" s="885">
        <f>IF(F49="","",IF(F49&gt;30,F49+0.5,F49+0.005))</f>
        <v/>
      </c>
      <c r="E48" s="161" t="inlineStr">
        <is>
          <t>Max</t>
        </is>
      </c>
      <c r="F48" s="162">
        <f>IF(AND(F49&lt;0.1,F49&gt;0),"WIL"," ")</f>
        <v/>
      </c>
      <c r="G48" s="138" t="n"/>
      <c r="H48" s="139" t="n"/>
      <c r="I48" s="140" t="n"/>
      <c r="J48" s="141" t="n"/>
      <c r="K48" s="165" t="n"/>
      <c r="L48" s="142" t="n"/>
      <c r="M48" s="141" t="n"/>
      <c r="N48" s="166" t="n"/>
      <c r="O48" s="142" t="n"/>
      <c r="P48" s="141" t="n"/>
      <c r="Q48" s="165" t="n"/>
    </row>
    <row r="49" ht="20.15" customFormat="1" customHeight="1" s="167" thickBot="1">
      <c r="C49" s="886">
        <f>Blend12Parts</f>
        <v/>
      </c>
      <c r="D49" s="887">
        <f>Blend12RMname</f>
        <v/>
      </c>
      <c r="E49" s="888" t="n"/>
      <c r="F49" s="889">
        <f>IF(C49="","",IF((C49/$C$63*$F$63)&lt;30,ROUND(C49/$C$63*$F$63,3),FIXED(C49/$C$63*$F$63,2)))</f>
        <v/>
      </c>
      <c r="G49" s="145">
        <f>IF(AND(F48&lt;0.11,F48&gt;0),"GR"," ")</f>
        <v/>
      </c>
      <c r="H49" s="139" t="n"/>
      <c r="I49" s="146" t="n"/>
      <c r="J49" s="147" t="n"/>
      <c r="K49" s="165" t="n"/>
      <c r="L49" s="148" t="n"/>
      <c r="M49" s="147" t="n"/>
      <c r="N49" s="166" t="n"/>
      <c r="O49" s="148" t="n"/>
      <c r="P49" s="147" t="n"/>
      <c r="Q49" s="165" t="n"/>
    </row>
    <row r="50" ht="20.15" customFormat="1" customHeight="1" s="167" thickBot="1">
      <c r="C50" s="891" t="n"/>
      <c r="D50" s="892">
        <f>IF(F49="","",IF(F49&gt;30,F49-0.5,F49-0.005))</f>
        <v/>
      </c>
      <c r="E50" s="163" t="inlineStr">
        <is>
          <t>Min</t>
        </is>
      </c>
      <c r="F50" s="164">
        <f>IF(AND(F49&lt;0.11,F49&gt;0),ROUND(454*F49,2)," ")</f>
        <v/>
      </c>
      <c r="G50" s="153">
        <f>IF(AND(F49&lt;0.11,F49&gt;0),"GR"," ")</f>
        <v/>
      </c>
      <c r="H50" s="139" t="n"/>
      <c r="I50" s="154" t="n"/>
      <c r="J50" s="155" t="n"/>
      <c r="K50" s="165" t="n"/>
      <c r="L50" s="157" t="n"/>
      <c r="M50" s="155" t="n"/>
      <c r="N50" s="166" t="n"/>
      <c r="O50" s="157" t="n"/>
      <c r="P50" s="155" t="n"/>
      <c r="Q50" s="165" t="n"/>
    </row>
    <row r="51" ht="20.15" customFormat="1" customHeight="1" s="167" thickBot="1">
      <c r="C51" s="893" t="inlineStr">
        <is>
          <t>#13</t>
        </is>
      </c>
      <c r="D51" s="885">
        <f>IF(F52="","",IF(F52&gt;30,F52+0.5,F52+0.005))</f>
        <v/>
      </c>
      <c r="E51" s="161" t="inlineStr">
        <is>
          <t>Max</t>
        </is>
      </c>
      <c r="F51" s="162">
        <f>IF(AND(F52&lt;0.1,F52&gt;0),"WIL"," ")</f>
        <v/>
      </c>
      <c r="G51" s="138" t="n"/>
      <c r="H51" s="139" t="n"/>
      <c r="I51" s="140" t="n"/>
      <c r="J51" s="141" t="n"/>
      <c r="K51" s="165" t="n"/>
      <c r="L51" s="142" t="n"/>
      <c r="M51" s="141" t="n"/>
      <c r="N51" s="166" t="n"/>
      <c r="O51" s="142" t="n"/>
      <c r="P51" s="141" t="n"/>
      <c r="Q51" s="165" t="n"/>
    </row>
    <row r="52" ht="20.15" customFormat="1" customHeight="1" s="167" thickBot="1">
      <c r="C52" s="886">
        <f>Blend13Parts</f>
        <v/>
      </c>
      <c r="D52" s="887">
        <f>Blend13RMname</f>
        <v/>
      </c>
      <c r="E52" s="888" t="n"/>
      <c r="F52" s="889">
        <f>IF(C52="","",IF((C52/$C$63*$F$63)&lt;30,ROUND(C52/$C$63*$F$63,3),FIXED(C52/$C$63*$F$63,2)))</f>
        <v/>
      </c>
      <c r="G52" s="145">
        <f>IF(AND(F51&lt;0.11,F51&gt;0),"GR"," ")</f>
        <v/>
      </c>
      <c r="H52" s="139" t="n"/>
      <c r="I52" s="146" t="n"/>
      <c r="J52" s="147" t="n"/>
      <c r="K52" s="165" t="n"/>
      <c r="L52" s="148" t="n"/>
      <c r="M52" s="147" t="n"/>
      <c r="N52" s="166" t="n"/>
      <c r="O52" s="148" t="n"/>
      <c r="P52" s="147" t="n"/>
      <c r="Q52" s="165" t="n"/>
    </row>
    <row r="53" ht="20.15" customFormat="1" customHeight="1" s="167" thickBot="1">
      <c r="C53" s="891" t="n"/>
      <c r="D53" s="892">
        <f>IF(F52="","",IF(F52&gt;30,F52-0.5,F52-0.005))</f>
        <v/>
      </c>
      <c r="E53" s="163" t="inlineStr">
        <is>
          <t>Min</t>
        </is>
      </c>
      <c r="F53" s="164">
        <f>IF(AND(F52&lt;0.11,F52&gt;0),ROUND(454*F52,2)," ")</f>
        <v/>
      </c>
      <c r="G53" s="153">
        <f>IF(AND(F52&lt;0.11,F52&gt;0),"GR"," ")</f>
        <v/>
      </c>
      <c r="H53" s="139" t="n"/>
      <c r="I53" s="154" t="n"/>
      <c r="J53" s="155" t="n"/>
      <c r="K53" s="165" t="n"/>
      <c r="L53" s="157" t="n"/>
      <c r="M53" s="155" t="n"/>
      <c r="N53" s="166" t="n"/>
      <c r="O53" s="157" t="n"/>
      <c r="P53" s="155" t="n"/>
      <c r="Q53" s="165" t="n"/>
    </row>
    <row r="54" ht="20.15" customFormat="1" customHeight="1" s="167" thickBot="1">
      <c r="C54" s="893" t="inlineStr">
        <is>
          <t>#14</t>
        </is>
      </c>
      <c r="D54" s="885">
        <f>IF(F55="","",IF(F55&gt;30,F55+0.5,F55+0.005))</f>
        <v/>
      </c>
      <c r="E54" s="161" t="inlineStr">
        <is>
          <t>Max</t>
        </is>
      </c>
      <c r="F54" s="162">
        <f>IF(AND(F55&lt;0.1,F55&gt;0),"WIL"," ")</f>
        <v/>
      </c>
      <c r="G54" s="138" t="n"/>
      <c r="H54" s="139" t="n"/>
      <c r="I54" s="140" t="n"/>
      <c r="J54" s="141" t="n"/>
      <c r="K54" s="165" t="n"/>
      <c r="L54" s="142" t="n"/>
      <c r="M54" s="141" t="n"/>
      <c r="N54" s="166" t="n"/>
      <c r="O54" s="142" t="n"/>
      <c r="P54" s="141" t="n"/>
      <c r="Q54" s="165" t="n"/>
    </row>
    <row r="55" ht="20.15" customFormat="1" customHeight="1" s="167" thickBot="1">
      <c r="C55" s="886">
        <f>Blend14Parts</f>
        <v/>
      </c>
      <c r="D55" s="887">
        <f>Blend14RMname</f>
        <v/>
      </c>
      <c r="E55" s="888" t="n"/>
      <c r="F55" s="889">
        <f>IF(C55="","",IF((C55/$C$63*$F$63)&lt;30,ROUND(C55/$C$63*$F$63,3),FIXED(C55/$C$63*$F$63,2)))</f>
        <v/>
      </c>
      <c r="G55" s="145">
        <f>IF(AND(F54&lt;0.11,F54&gt;0),"GR"," ")</f>
        <v/>
      </c>
      <c r="H55" s="139" t="n"/>
      <c r="I55" s="146" t="n"/>
      <c r="J55" s="147" t="n"/>
      <c r="K55" s="165" t="n"/>
      <c r="L55" s="148" t="n"/>
      <c r="M55" s="147" t="n"/>
      <c r="N55" s="166" t="n"/>
      <c r="O55" s="148" t="n"/>
      <c r="P55" s="147" t="n"/>
      <c r="Q55" s="165" t="n"/>
    </row>
    <row r="56" ht="20.15" customFormat="1" customHeight="1" s="167" thickBot="1">
      <c r="C56" s="891" t="n"/>
      <c r="D56" s="892">
        <f>IF(F55="","",IF(F55&gt;30,F55-0.5,F55-0.005))</f>
        <v/>
      </c>
      <c r="E56" s="163" t="inlineStr">
        <is>
          <t>Min</t>
        </is>
      </c>
      <c r="F56" s="164">
        <f>IF(AND(F55&lt;0.11,F55&gt;0),ROUND(454*F55,2)," ")</f>
        <v/>
      </c>
      <c r="G56" s="153">
        <f>IF(AND(F55&lt;0.11,F55&gt;0),"GR"," ")</f>
        <v/>
      </c>
      <c r="H56" s="139" t="n"/>
      <c r="I56" s="154" t="n"/>
      <c r="J56" s="155" t="n"/>
      <c r="K56" s="165" t="n"/>
      <c r="L56" s="157" t="n"/>
      <c r="M56" s="155" t="n"/>
      <c r="N56" s="166" t="n"/>
      <c r="O56" s="157" t="n"/>
      <c r="P56" s="155" t="n"/>
      <c r="Q56" s="165" t="n"/>
    </row>
    <row r="57" ht="20.15" customFormat="1" customHeight="1" s="167" thickBot="1">
      <c r="C57" s="893" t="inlineStr">
        <is>
          <t>#15</t>
        </is>
      </c>
      <c r="D57" s="885">
        <f>IF(F58="","",IF(F58&gt;30,F58+0.5,F58+0.005))</f>
        <v/>
      </c>
      <c r="E57" s="161" t="inlineStr">
        <is>
          <t>Max</t>
        </is>
      </c>
      <c r="F57" s="162">
        <f>IF(AND(F58&lt;0.1,F58&gt;0),"WIL"," ")</f>
        <v/>
      </c>
      <c r="G57" s="138" t="n"/>
      <c r="H57" s="139" t="n"/>
      <c r="I57" s="140" t="n"/>
      <c r="J57" s="141" t="n"/>
      <c r="K57" s="165" t="n"/>
      <c r="L57" s="142" t="n"/>
      <c r="M57" s="141" t="n"/>
      <c r="N57" s="166" t="n"/>
      <c r="O57" s="142" t="n"/>
      <c r="P57" s="141" t="n"/>
      <c r="Q57" s="165" t="n"/>
    </row>
    <row r="58" ht="20.15" customFormat="1" customHeight="1" s="167" thickBot="1">
      <c r="C58" s="886">
        <f>Blend15Parts</f>
        <v/>
      </c>
      <c r="D58" s="887">
        <f>Blend15RMname</f>
        <v/>
      </c>
      <c r="E58" s="888" t="n"/>
      <c r="F58" s="889">
        <f>IF(C58="","",IF((C58/$C$63*$F$63)&lt;30,ROUND(C58/$C$63*$F$63,3),FIXED(C58/$C$63*$F$63,2)))</f>
        <v/>
      </c>
      <c r="G58" s="145">
        <f>IF(AND(F57&lt;0.11,F57&gt;0),"GR"," ")</f>
        <v/>
      </c>
      <c r="H58" s="139" t="n"/>
      <c r="I58" s="146" t="n"/>
      <c r="J58" s="147" t="n"/>
      <c r="K58" s="165" t="n"/>
      <c r="L58" s="148" t="n"/>
      <c r="M58" s="147" t="n"/>
      <c r="N58" s="166" t="n"/>
      <c r="O58" s="148" t="n"/>
      <c r="P58" s="147" t="n"/>
      <c r="Q58" s="165" t="n"/>
    </row>
    <row r="59" ht="19.5" customFormat="1" customHeight="1" s="167" thickBot="1">
      <c r="C59" s="891" t="n"/>
      <c r="D59" s="892">
        <f>IF(F58="","",IF(F58&gt;30,F58-0.5,F58-0.005))</f>
        <v/>
      </c>
      <c r="E59" s="163" t="inlineStr">
        <is>
          <t>Min</t>
        </is>
      </c>
      <c r="F59" s="164">
        <f>IF(AND(F58&lt;0.11,F58&gt;0),ROUND(454*F58,2)," ")</f>
        <v/>
      </c>
      <c r="G59" s="153">
        <f>IF(AND(F58&lt;0.11,F58&gt;0),"GR"," ")</f>
        <v/>
      </c>
      <c r="H59" s="139" t="n"/>
      <c r="I59" s="154" t="n"/>
      <c r="J59" s="155" t="n"/>
      <c r="K59" s="165" t="n"/>
      <c r="L59" s="157" t="n"/>
      <c r="M59" s="155" t="n"/>
      <c r="N59" s="166" t="n"/>
      <c r="O59" s="157" t="n"/>
      <c r="P59" s="155" t="n"/>
      <c r="Q59" s="165" t="n"/>
    </row>
    <row r="60" ht="20.25" customFormat="1" customHeight="1" s="167" thickBot="1">
      <c r="C60" s="893" t="inlineStr">
        <is>
          <t>#16</t>
        </is>
      </c>
      <c r="D60" s="885">
        <f>IF(F61="","",IF(F61&gt;30,F61+0.5,F61+0.005))</f>
        <v/>
      </c>
      <c r="E60" s="161" t="inlineStr">
        <is>
          <t>Max</t>
        </is>
      </c>
      <c r="F60" s="162">
        <f>IF(AND(F61&lt;0.1,F61&gt;0),"WIL"," ")</f>
        <v/>
      </c>
      <c r="G60" s="138" t="n"/>
      <c r="H60" s="139" t="n"/>
      <c r="I60" s="140" t="n"/>
      <c r="J60" s="141" t="n"/>
      <c r="K60" s="165" t="n"/>
      <c r="L60" s="142" t="n"/>
      <c r="M60" s="141" t="n"/>
      <c r="N60" s="166" t="n"/>
      <c r="O60" s="142" t="n"/>
      <c r="P60" s="141" t="n"/>
      <c r="Q60" s="165" t="n"/>
    </row>
    <row r="61" ht="20.25" customFormat="1" customHeight="1" s="167" thickBot="1">
      <c r="C61" s="886">
        <f>Blend16Parts</f>
        <v/>
      </c>
      <c r="D61" s="887">
        <f>Blend16RMname</f>
        <v/>
      </c>
      <c r="E61" s="888" t="n"/>
      <c r="F61" s="889">
        <f>IF(C61="","",IF((C61/$C$63*$F$63)&lt;30,ROUND(C61/$C$63*$F$63,3),FIXED(C61/$C$63*$F$63,2)))</f>
        <v/>
      </c>
      <c r="G61" s="145">
        <f>IF(AND(F60&lt;0.11,F60&gt;0),"GR"," ")</f>
        <v/>
      </c>
      <c r="H61" s="139" t="n"/>
      <c r="I61" s="146" t="n"/>
      <c r="J61" s="147" t="n"/>
      <c r="K61" s="165" t="n"/>
      <c r="L61" s="148" t="n"/>
      <c r="M61" s="147" t="n"/>
      <c r="N61" s="166" t="n"/>
      <c r="O61" s="148" t="n"/>
      <c r="P61" s="147" t="n"/>
      <c r="Q61" s="165" t="n"/>
    </row>
    <row r="62" ht="20.25" customFormat="1" customHeight="1" s="167" thickBot="1">
      <c r="C62" s="891" t="n"/>
      <c r="D62" s="892">
        <f>IF(F61="","",IF(F61&gt;30,F61-0.5,F61-0.005))</f>
        <v/>
      </c>
      <c r="E62" s="163" t="inlineStr">
        <is>
          <t>Min</t>
        </is>
      </c>
      <c r="F62" s="164">
        <f>IF(AND(F61&lt;0.11,F61&gt;0),ROUND(454*F61,2)," ")</f>
        <v/>
      </c>
      <c r="G62" s="153">
        <f>IF(AND(F61&lt;0.11,F61&gt;0),"GR"," ")</f>
        <v/>
      </c>
      <c r="H62" s="139" t="n"/>
      <c r="I62" s="154" t="n"/>
      <c r="J62" s="155" t="n"/>
      <c r="K62" s="168" t="n"/>
      <c r="L62" s="157" t="n"/>
      <c r="M62" s="155" t="n"/>
      <c r="N62" s="166" t="n"/>
      <c r="O62" s="157" t="n"/>
      <c r="P62" s="155" t="n"/>
      <c r="Q62" s="165" t="n"/>
    </row>
    <row r="63" ht="20.25" customFormat="1" customHeight="1" s="179">
      <c r="A63" s="169" t="inlineStr">
        <is>
          <t>Preblend Parts =</t>
        </is>
      </c>
      <c r="B63" s="170" t="n"/>
      <c r="C63" s="894">
        <f>C16 + C19 + C22 + C25 + C28 + C31 + C34 + C37 + C40 + C43 + C46 + C49 + C52 + C55 + C58 + C61</f>
        <v/>
      </c>
      <c r="D63" s="172" t="inlineStr">
        <is>
          <t>TOTAL BATCH WT. =</t>
        </is>
      </c>
      <c r="E63" s="172" t="n"/>
      <c r="F63" s="173">
        <f>BowlWeight</f>
        <v/>
      </c>
      <c r="G63" s="174" t="n"/>
      <c r="H63" s="139" t="n"/>
      <c r="I63" s="175" t="inlineStr">
        <is>
          <t>Blend wt=</t>
        </is>
      </c>
      <c r="J63" s="176" t="n"/>
      <c r="K63" s="177" t="n"/>
      <c r="L63" s="175" t="inlineStr">
        <is>
          <t>Blend wt=</t>
        </is>
      </c>
      <c r="M63" s="178" t="n"/>
      <c r="N63" s="177" t="n"/>
      <c r="O63" s="175" t="inlineStr">
        <is>
          <t>Blend wt=</t>
        </is>
      </c>
      <c r="P63" s="178" t="n"/>
      <c r="Q63" s="177" t="n"/>
    </row>
    <row r="64" ht="20.25" customHeight="1">
      <c r="D64" s="53" t="inlineStr">
        <is>
          <t>Total net wt. From Blend Ticket</t>
        </is>
      </c>
      <c r="H64" s="181" t="n"/>
      <c r="I64" s="182" t="n"/>
      <c r="J64" s="183" t="n"/>
      <c r="L64" s="182" t="n"/>
      <c r="M64" s="183" t="n"/>
      <c r="O64" s="182" t="n"/>
      <c r="P64" s="183" t="n"/>
    </row>
    <row r="65" ht="20.25" customHeight="1" thickBot="1">
      <c r="C65" s="184" t="inlineStr">
        <is>
          <t>Must be +/- 1%(Requires TL initial if out)</t>
        </is>
      </c>
      <c r="D65" s="185" t="n"/>
      <c r="E65" s="185" t="n"/>
      <c r="F65" s="185" t="n"/>
      <c r="G65" s="185" t="n"/>
      <c r="H65" s="186" t="n"/>
      <c r="I65" s="187" t="inlineStr">
        <is>
          <t>OP INT</t>
        </is>
      </c>
      <c r="J65" s="188" t="n"/>
      <c r="L65" s="187" t="inlineStr">
        <is>
          <t>OP INT</t>
        </is>
      </c>
      <c r="M65" s="188" t="n"/>
      <c r="O65" s="187" t="inlineStr">
        <is>
          <t>OP INT</t>
        </is>
      </c>
      <c r="P65" s="188" t="n"/>
    </row>
    <row r="66" ht="20.25" customHeight="1" thickBot="1"/>
    <row r="67" ht="25.5" customHeight="1" thickBot="1">
      <c r="I67" s="189" t="inlineStr">
        <is>
          <t>BOWL WT</t>
        </is>
      </c>
      <c r="J67" s="190" t="n"/>
      <c r="K67" s="167" t="n"/>
      <c r="L67" s="189" t="inlineStr">
        <is>
          <t>BOWL WT</t>
        </is>
      </c>
      <c r="M67" s="190" t="n"/>
      <c r="N67" s="167" t="n"/>
      <c r="O67" s="189" t="inlineStr">
        <is>
          <t>BOWL WT</t>
        </is>
      </c>
      <c r="P67" s="190" t="n"/>
    </row>
    <row r="68" ht="25.5" customHeight="1" thickBot="1">
      <c r="I68" s="191" t="inlineStr">
        <is>
          <t>BOWL #</t>
        </is>
      </c>
      <c r="J68" s="192" t="n"/>
      <c r="K68" s="167" t="n"/>
      <c r="L68" s="191" t="inlineStr">
        <is>
          <t>BOWL #</t>
        </is>
      </c>
      <c r="M68" s="192" t="n"/>
      <c r="N68" s="167" t="n"/>
      <c r="O68" s="191" t="inlineStr">
        <is>
          <t>BOWL #</t>
        </is>
      </c>
      <c r="P68" s="192" t="n"/>
    </row>
    <row r="69" ht="25.5" customHeight="1" thickBot="1">
      <c r="I69" s="191" t="inlineStr">
        <is>
          <t>MIXACO #</t>
        </is>
      </c>
      <c r="J69" s="192" t="n"/>
      <c r="K69" s="167" t="n"/>
      <c r="L69" s="191" t="inlineStr">
        <is>
          <t>MIXACO #</t>
        </is>
      </c>
      <c r="M69" s="192" t="n"/>
      <c r="N69" s="167" t="n"/>
      <c r="O69" s="191" t="inlineStr">
        <is>
          <t>MIXACO #</t>
        </is>
      </c>
      <c r="P69" s="192" t="n"/>
    </row>
    <row r="70" ht="20.25" customHeight="1"/>
    <row r="71" ht="20.25" customHeight="1"/>
    <row r="75">
      <c r="Q75" s="193" t="n"/>
    </row>
  </sheetData>
  <sheetProtection selectLockedCells="1" selectUnlockedCells="0" sheet="1" objects="1" insertRows="1" insertHyperlinks="1" autoFilter="1" scenarios="1" formatColumns="1" deleteColumns="1" insertColumns="1" pivotTables="1" deleteRows="1" formatCells="1" formatRows="1" sort="1"/>
  <mergeCells count="48">
    <mergeCell ref="C61:C62"/>
    <mergeCell ref="D61:E61"/>
    <mergeCell ref="C52:C53"/>
    <mergeCell ref="D52:E52"/>
    <mergeCell ref="C55:C56"/>
    <mergeCell ref="D55:E55"/>
    <mergeCell ref="C58:C59"/>
    <mergeCell ref="D58:E58"/>
    <mergeCell ref="C43:C44"/>
    <mergeCell ref="D43:E43"/>
    <mergeCell ref="C46:C47"/>
    <mergeCell ref="D46:E46"/>
    <mergeCell ref="C49:C50"/>
    <mergeCell ref="D49:E49"/>
    <mergeCell ref="C34:C35"/>
    <mergeCell ref="D34:E34"/>
    <mergeCell ref="C37:C38"/>
    <mergeCell ref="D37:E37"/>
    <mergeCell ref="C40:C41"/>
    <mergeCell ref="D40:E40"/>
    <mergeCell ref="C25:C26"/>
    <mergeCell ref="D25:E25"/>
    <mergeCell ref="C28:C29"/>
    <mergeCell ref="D28:E28"/>
    <mergeCell ref="C31:C32"/>
    <mergeCell ref="D31:E31"/>
    <mergeCell ref="C22:C23"/>
    <mergeCell ref="D22:E22"/>
    <mergeCell ref="F11:H11"/>
    <mergeCell ref="F12:H12"/>
    <mergeCell ref="I12:J12"/>
    <mergeCell ref="D14:E14"/>
    <mergeCell ref="C16:C17"/>
    <mergeCell ref="D16:E16"/>
    <mergeCell ref="C19:C20"/>
    <mergeCell ref="D19:E19"/>
    <mergeCell ref="L12:M12"/>
    <mergeCell ref="O12:P12"/>
    <mergeCell ref="D13:E13"/>
    <mergeCell ref="A1:B2"/>
    <mergeCell ref="C1:E1"/>
    <mergeCell ref="F1:H1"/>
    <mergeCell ref="I1:J1"/>
    <mergeCell ref="K1:M1"/>
    <mergeCell ref="N1:Q2"/>
    <mergeCell ref="C2:D2"/>
    <mergeCell ref="E2:H2"/>
    <mergeCell ref="I2:M2"/>
  </mergeCells>
  <conditionalFormatting sqref="F31 F25 F28 F16 F19 F34 F22 F37 F40 F43 F46 F49 F52 F55 F58 F61">
    <cfRule type="cellIs" priority="1" operator="lessThan" dxfId="0" stopIfTrue="1">
      <formula>0.1</formula>
    </cfRule>
  </conditionalFormatting>
  <printOptions horizontalCentered="1"/>
  <pageMargins left="0.25" right="0.25" top="0.25" bottom="0.17" header="0.25" footer="0.17"/>
  <pageSetup orientation="portrait" paperSize="5" scale="68"/>
  <headerFooter alignWithMargins="0">
    <oddHeader/>
    <oddFooter>&amp;L&amp;8 NETWORK ADDRESS: MPCI data\forms\production-operation forms&amp;C&amp;P  of &amp;N&amp;R&amp;8 Record Retention: Maintained   with Job Packet for 3 years.</oddFooter>
    <evenHeader/>
    <evenFooter/>
    <firstHeader/>
    <firstFooter/>
  </headerFooter>
</worksheet>
</file>

<file path=xl/worksheets/sheet5.xml><?xml version="1.0" encoding="utf-8"?>
<worksheet xmlns="http://schemas.openxmlformats.org/spreadsheetml/2006/main">
  <sheetPr codeName="Sheet7">
    <outlinePr summaryBelow="1" summaryRight="1"/>
    <pageSetUpPr/>
  </sheetPr>
  <dimension ref="A1:CB11"/>
  <sheetViews>
    <sheetView view="pageBreakPreview" zoomScale="145" zoomScaleNormal="70" zoomScaleSheetLayoutView="145" workbookViewId="0">
      <selection activeCell="A1" sqref="A1:A2"/>
    </sheetView>
  </sheetViews>
  <sheetFormatPr baseColWidth="8" defaultRowHeight="12.5"/>
  <cols>
    <col width="3.81640625" customWidth="1" style="662" min="1" max="1"/>
    <col width="9.1796875" customWidth="1" style="662" min="2" max="9"/>
    <col width="10.7265625" customWidth="1" style="662" min="10" max="10"/>
    <col width="9.1796875" customWidth="1" style="662" min="11" max="11"/>
    <col width="11.81640625" customWidth="1" style="662" min="12" max="12"/>
    <col width="9.1796875" customWidth="1" style="662" min="13" max="256"/>
    <col width="3.81640625" customWidth="1" style="662" min="257" max="257"/>
    <col width="9.1796875" customWidth="1" style="662" min="258" max="265"/>
    <col width="10.7265625" customWidth="1" style="662" min="266" max="266"/>
    <col width="9.1796875" customWidth="1" style="662" min="267" max="267"/>
    <col width="11.81640625" customWidth="1" style="662" min="268" max="268"/>
    <col width="9.1796875" customWidth="1" style="662" min="269" max="512"/>
    <col width="3.81640625" customWidth="1" style="662" min="513" max="513"/>
    <col width="9.1796875" customWidth="1" style="662" min="514" max="521"/>
    <col width="10.7265625" customWidth="1" style="662" min="522" max="522"/>
    <col width="9.1796875" customWidth="1" style="662" min="523" max="523"/>
    <col width="11.81640625" customWidth="1" style="662" min="524" max="524"/>
    <col width="9.1796875" customWidth="1" style="662" min="525" max="768"/>
    <col width="3.81640625" customWidth="1" style="662" min="769" max="769"/>
    <col width="9.1796875" customWidth="1" style="662" min="770" max="777"/>
    <col width="10.7265625" customWidth="1" style="662" min="778" max="778"/>
    <col width="9.1796875" customWidth="1" style="662" min="779" max="779"/>
    <col width="11.81640625" customWidth="1" style="662" min="780" max="780"/>
    <col width="9.1796875" customWidth="1" style="662" min="781" max="1024"/>
    <col width="3.81640625" customWidth="1" style="662" min="1025" max="1025"/>
    <col width="9.1796875" customWidth="1" style="662" min="1026" max="1033"/>
    <col width="10.7265625" customWidth="1" style="662" min="1034" max="1034"/>
    <col width="9.1796875" customWidth="1" style="662" min="1035" max="1035"/>
    <col width="11.81640625" customWidth="1" style="662" min="1036" max="1036"/>
    <col width="9.1796875" customWidth="1" style="662" min="1037" max="1280"/>
    <col width="3.81640625" customWidth="1" style="662" min="1281" max="1281"/>
    <col width="9.1796875" customWidth="1" style="662" min="1282" max="1289"/>
    <col width="10.7265625" customWidth="1" style="662" min="1290" max="1290"/>
    <col width="9.1796875" customWidth="1" style="662" min="1291" max="1291"/>
    <col width="11.81640625" customWidth="1" style="662" min="1292" max="1292"/>
    <col width="9.1796875" customWidth="1" style="662" min="1293" max="1536"/>
    <col width="3.81640625" customWidth="1" style="662" min="1537" max="1537"/>
    <col width="9.1796875" customWidth="1" style="662" min="1538" max="1545"/>
    <col width="10.7265625" customWidth="1" style="662" min="1546" max="1546"/>
    <col width="9.1796875" customWidth="1" style="662" min="1547" max="1547"/>
    <col width="11.81640625" customWidth="1" style="662" min="1548" max="1548"/>
    <col width="9.1796875" customWidth="1" style="662" min="1549" max="1792"/>
    <col width="3.81640625" customWidth="1" style="662" min="1793" max="1793"/>
    <col width="9.1796875" customWidth="1" style="662" min="1794" max="1801"/>
    <col width="10.7265625" customWidth="1" style="662" min="1802" max="1802"/>
    <col width="9.1796875" customWidth="1" style="662" min="1803" max="1803"/>
    <col width="11.81640625" customWidth="1" style="662" min="1804" max="1804"/>
    <col width="9.1796875" customWidth="1" style="662" min="1805" max="2048"/>
    <col width="3.81640625" customWidth="1" style="662" min="2049" max="2049"/>
    <col width="9.1796875" customWidth="1" style="662" min="2050" max="2057"/>
    <col width="10.7265625" customWidth="1" style="662" min="2058" max="2058"/>
    <col width="9.1796875" customWidth="1" style="662" min="2059" max="2059"/>
    <col width="11.81640625" customWidth="1" style="662" min="2060" max="2060"/>
    <col width="9.1796875" customWidth="1" style="662" min="2061" max="2304"/>
    <col width="3.81640625" customWidth="1" style="662" min="2305" max="2305"/>
    <col width="9.1796875" customWidth="1" style="662" min="2306" max="2313"/>
    <col width="10.7265625" customWidth="1" style="662" min="2314" max="2314"/>
    <col width="9.1796875" customWidth="1" style="662" min="2315" max="2315"/>
    <col width="11.81640625" customWidth="1" style="662" min="2316" max="2316"/>
    <col width="9.1796875" customWidth="1" style="662" min="2317" max="2560"/>
    <col width="3.81640625" customWidth="1" style="662" min="2561" max="2561"/>
    <col width="9.1796875" customWidth="1" style="662" min="2562" max="2569"/>
    <col width="10.7265625" customWidth="1" style="662" min="2570" max="2570"/>
    <col width="9.1796875" customWidth="1" style="662" min="2571" max="2571"/>
    <col width="11.81640625" customWidth="1" style="662" min="2572" max="2572"/>
    <col width="9.1796875" customWidth="1" style="662" min="2573" max="2816"/>
    <col width="3.81640625" customWidth="1" style="662" min="2817" max="2817"/>
    <col width="9.1796875" customWidth="1" style="662" min="2818" max="2825"/>
    <col width="10.7265625" customWidth="1" style="662" min="2826" max="2826"/>
    <col width="9.1796875" customWidth="1" style="662" min="2827" max="2827"/>
    <col width="11.81640625" customWidth="1" style="662" min="2828" max="2828"/>
    <col width="9.1796875" customWidth="1" style="662" min="2829" max="3072"/>
    <col width="3.81640625" customWidth="1" style="662" min="3073" max="3073"/>
    <col width="9.1796875" customWidth="1" style="662" min="3074" max="3081"/>
    <col width="10.7265625" customWidth="1" style="662" min="3082" max="3082"/>
    <col width="9.1796875" customWidth="1" style="662" min="3083" max="3083"/>
    <col width="11.81640625" customWidth="1" style="662" min="3084" max="3084"/>
    <col width="9.1796875" customWidth="1" style="662" min="3085" max="3328"/>
    <col width="3.81640625" customWidth="1" style="662" min="3329" max="3329"/>
    <col width="9.1796875" customWidth="1" style="662" min="3330" max="3337"/>
    <col width="10.7265625" customWidth="1" style="662" min="3338" max="3338"/>
    <col width="9.1796875" customWidth="1" style="662" min="3339" max="3339"/>
    <col width="11.81640625" customWidth="1" style="662" min="3340" max="3340"/>
    <col width="9.1796875" customWidth="1" style="662" min="3341" max="3584"/>
    <col width="3.81640625" customWidth="1" style="662" min="3585" max="3585"/>
    <col width="9.1796875" customWidth="1" style="662" min="3586" max="3593"/>
    <col width="10.7265625" customWidth="1" style="662" min="3594" max="3594"/>
    <col width="9.1796875" customWidth="1" style="662" min="3595" max="3595"/>
    <col width="11.81640625" customWidth="1" style="662" min="3596" max="3596"/>
    <col width="9.1796875" customWidth="1" style="662" min="3597" max="3840"/>
    <col width="3.81640625" customWidth="1" style="662" min="3841" max="3841"/>
    <col width="9.1796875" customWidth="1" style="662" min="3842" max="3849"/>
    <col width="10.7265625" customWidth="1" style="662" min="3850" max="3850"/>
    <col width="9.1796875" customWidth="1" style="662" min="3851" max="3851"/>
    <col width="11.81640625" customWidth="1" style="662" min="3852" max="3852"/>
    <col width="9.1796875" customWidth="1" style="662" min="3853" max="4096"/>
    <col width="3.81640625" customWidth="1" style="662" min="4097" max="4097"/>
    <col width="9.1796875" customWidth="1" style="662" min="4098" max="4105"/>
    <col width="10.7265625" customWidth="1" style="662" min="4106" max="4106"/>
    <col width="9.1796875" customWidth="1" style="662" min="4107" max="4107"/>
    <col width="11.81640625" customWidth="1" style="662" min="4108" max="4108"/>
    <col width="9.1796875" customWidth="1" style="662" min="4109" max="4352"/>
    <col width="3.81640625" customWidth="1" style="662" min="4353" max="4353"/>
    <col width="9.1796875" customWidth="1" style="662" min="4354" max="4361"/>
    <col width="10.7265625" customWidth="1" style="662" min="4362" max="4362"/>
    <col width="9.1796875" customWidth="1" style="662" min="4363" max="4363"/>
    <col width="11.81640625" customWidth="1" style="662" min="4364" max="4364"/>
    <col width="9.1796875" customWidth="1" style="662" min="4365" max="4608"/>
    <col width="3.81640625" customWidth="1" style="662" min="4609" max="4609"/>
    <col width="9.1796875" customWidth="1" style="662" min="4610" max="4617"/>
    <col width="10.7265625" customWidth="1" style="662" min="4618" max="4618"/>
    <col width="9.1796875" customWidth="1" style="662" min="4619" max="4619"/>
    <col width="11.81640625" customWidth="1" style="662" min="4620" max="4620"/>
    <col width="9.1796875" customWidth="1" style="662" min="4621" max="4864"/>
    <col width="3.81640625" customWidth="1" style="662" min="4865" max="4865"/>
    <col width="9.1796875" customWidth="1" style="662" min="4866" max="4873"/>
    <col width="10.7265625" customWidth="1" style="662" min="4874" max="4874"/>
    <col width="9.1796875" customWidth="1" style="662" min="4875" max="4875"/>
    <col width="11.81640625" customWidth="1" style="662" min="4876" max="4876"/>
    <col width="9.1796875" customWidth="1" style="662" min="4877" max="5120"/>
    <col width="3.81640625" customWidth="1" style="662" min="5121" max="5121"/>
    <col width="9.1796875" customWidth="1" style="662" min="5122" max="5129"/>
    <col width="10.7265625" customWidth="1" style="662" min="5130" max="5130"/>
    <col width="9.1796875" customWidth="1" style="662" min="5131" max="5131"/>
    <col width="11.81640625" customWidth="1" style="662" min="5132" max="5132"/>
    <col width="9.1796875" customWidth="1" style="662" min="5133" max="5376"/>
    <col width="3.81640625" customWidth="1" style="662" min="5377" max="5377"/>
    <col width="9.1796875" customWidth="1" style="662" min="5378" max="5385"/>
    <col width="10.7265625" customWidth="1" style="662" min="5386" max="5386"/>
    <col width="9.1796875" customWidth="1" style="662" min="5387" max="5387"/>
    <col width="11.81640625" customWidth="1" style="662" min="5388" max="5388"/>
    <col width="9.1796875" customWidth="1" style="662" min="5389" max="5632"/>
    <col width="3.81640625" customWidth="1" style="662" min="5633" max="5633"/>
    <col width="9.1796875" customWidth="1" style="662" min="5634" max="5641"/>
    <col width="10.7265625" customWidth="1" style="662" min="5642" max="5642"/>
    <col width="9.1796875" customWidth="1" style="662" min="5643" max="5643"/>
    <col width="11.81640625" customWidth="1" style="662" min="5644" max="5644"/>
    <col width="9.1796875" customWidth="1" style="662" min="5645" max="5888"/>
    <col width="3.81640625" customWidth="1" style="662" min="5889" max="5889"/>
    <col width="9.1796875" customWidth="1" style="662" min="5890" max="5897"/>
    <col width="10.7265625" customWidth="1" style="662" min="5898" max="5898"/>
    <col width="9.1796875" customWidth="1" style="662" min="5899" max="5899"/>
    <col width="11.81640625" customWidth="1" style="662" min="5900" max="5900"/>
    <col width="9.1796875" customWidth="1" style="662" min="5901" max="6144"/>
    <col width="3.81640625" customWidth="1" style="662" min="6145" max="6145"/>
    <col width="9.1796875" customWidth="1" style="662" min="6146" max="6153"/>
    <col width="10.7265625" customWidth="1" style="662" min="6154" max="6154"/>
    <col width="9.1796875" customWidth="1" style="662" min="6155" max="6155"/>
    <col width="11.81640625" customWidth="1" style="662" min="6156" max="6156"/>
    <col width="9.1796875" customWidth="1" style="662" min="6157" max="6400"/>
    <col width="3.81640625" customWidth="1" style="662" min="6401" max="6401"/>
    <col width="9.1796875" customWidth="1" style="662" min="6402" max="6409"/>
    <col width="10.7265625" customWidth="1" style="662" min="6410" max="6410"/>
    <col width="9.1796875" customWidth="1" style="662" min="6411" max="6411"/>
    <col width="11.81640625" customWidth="1" style="662" min="6412" max="6412"/>
    <col width="9.1796875" customWidth="1" style="662" min="6413" max="6656"/>
    <col width="3.81640625" customWidth="1" style="662" min="6657" max="6657"/>
    <col width="9.1796875" customWidth="1" style="662" min="6658" max="6665"/>
    <col width="10.7265625" customWidth="1" style="662" min="6666" max="6666"/>
    <col width="9.1796875" customWidth="1" style="662" min="6667" max="6667"/>
    <col width="11.81640625" customWidth="1" style="662" min="6668" max="6668"/>
    <col width="9.1796875" customWidth="1" style="662" min="6669" max="6912"/>
    <col width="3.81640625" customWidth="1" style="662" min="6913" max="6913"/>
    <col width="9.1796875" customWidth="1" style="662" min="6914" max="6921"/>
    <col width="10.7265625" customWidth="1" style="662" min="6922" max="6922"/>
    <col width="9.1796875" customWidth="1" style="662" min="6923" max="6923"/>
    <col width="11.81640625" customWidth="1" style="662" min="6924" max="6924"/>
    <col width="9.1796875" customWidth="1" style="662" min="6925" max="7168"/>
    <col width="3.81640625" customWidth="1" style="662" min="7169" max="7169"/>
    <col width="9.1796875" customWidth="1" style="662" min="7170" max="7177"/>
    <col width="10.7265625" customWidth="1" style="662" min="7178" max="7178"/>
    <col width="9.1796875" customWidth="1" style="662" min="7179" max="7179"/>
    <col width="11.81640625" customWidth="1" style="662" min="7180" max="7180"/>
    <col width="9.1796875" customWidth="1" style="662" min="7181" max="7424"/>
    <col width="3.81640625" customWidth="1" style="662" min="7425" max="7425"/>
    <col width="9.1796875" customWidth="1" style="662" min="7426" max="7433"/>
    <col width="10.7265625" customWidth="1" style="662" min="7434" max="7434"/>
    <col width="9.1796875" customWidth="1" style="662" min="7435" max="7435"/>
    <col width="11.81640625" customWidth="1" style="662" min="7436" max="7436"/>
    <col width="9.1796875" customWidth="1" style="662" min="7437" max="7680"/>
    <col width="3.81640625" customWidth="1" style="662" min="7681" max="7681"/>
    <col width="9.1796875" customWidth="1" style="662" min="7682" max="7689"/>
    <col width="10.7265625" customWidth="1" style="662" min="7690" max="7690"/>
    <col width="9.1796875" customWidth="1" style="662" min="7691" max="7691"/>
    <col width="11.81640625" customWidth="1" style="662" min="7692" max="7692"/>
    <col width="9.1796875" customWidth="1" style="662" min="7693" max="7936"/>
    <col width="3.81640625" customWidth="1" style="662" min="7937" max="7937"/>
    <col width="9.1796875" customWidth="1" style="662" min="7938" max="7945"/>
    <col width="10.7265625" customWidth="1" style="662" min="7946" max="7946"/>
    <col width="9.1796875" customWidth="1" style="662" min="7947" max="7947"/>
    <col width="11.81640625" customWidth="1" style="662" min="7948" max="7948"/>
    <col width="9.1796875" customWidth="1" style="662" min="7949" max="8192"/>
    <col width="3.81640625" customWidth="1" style="662" min="8193" max="8193"/>
    <col width="9.1796875" customWidth="1" style="662" min="8194" max="8201"/>
    <col width="10.7265625" customWidth="1" style="662" min="8202" max="8202"/>
    <col width="9.1796875" customWidth="1" style="662" min="8203" max="8203"/>
    <col width="11.81640625" customWidth="1" style="662" min="8204" max="8204"/>
    <col width="9.1796875" customWidth="1" style="662" min="8205" max="8448"/>
    <col width="3.81640625" customWidth="1" style="662" min="8449" max="8449"/>
    <col width="9.1796875" customWidth="1" style="662" min="8450" max="8457"/>
    <col width="10.7265625" customWidth="1" style="662" min="8458" max="8458"/>
    <col width="9.1796875" customWidth="1" style="662" min="8459" max="8459"/>
    <col width="11.81640625" customWidth="1" style="662" min="8460" max="8460"/>
    <col width="9.1796875" customWidth="1" style="662" min="8461" max="8704"/>
    <col width="3.81640625" customWidth="1" style="662" min="8705" max="8705"/>
    <col width="9.1796875" customWidth="1" style="662" min="8706" max="8713"/>
    <col width="10.7265625" customWidth="1" style="662" min="8714" max="8714"/>
    <col width="9.1796875" customWidth="1" style="662" min="8715" max="8715"/>
    <col width="11.81640625" customWidth="1" style="662" min="8716" max="8716"/>
    <col width="9.1796875" customWidth="1" style="662" min="8717" max="8960"/>
    <col width="3.81640625" customWidth="1" style="662" min="8961" max="8961"/>
    <col width="9.1796875" customWidth="1" style="662" min="8962" max="8969"/>
    <col width="10.7265625" customWidth="1" style="662" min="8970" max="8970"/>
    <col width="9.1796875" customWidth="1" style="662" min="8971" max="8971"/>
    <col width="11.81640625" customWidth="1" style="662" min="8972" max="8972"/>
    <col width="9.1796875" customWidth="1" style="662" min="8973" max="9216"/>
    <col width="3.81640625" customWidth="1" style="662" min="9217" max="9217"/>
    <col width="9.1796875" customWidth="1" style="662" min="9218" max="9225"/>
    <col width="10.7265625" customWidth="1" style="662" min="9226" max="9226"/>
    <col width="9.1796875" customWidth="1" style="662" min="9227" max="9227"/>
    <col width="11.81640625" customWidth="1" style="662" min="9228" max="9228"/>
    <col width="9.1796875" customWidth="1" style="662" min="9229" max="9472"/>
    <col width="3.81640625" customWidth="1" style="662" min="9473" max="9473"/>
    <col width="9.1796875" customWidth="1" style="662" min="9474" max="9481"/>
    <col width="10.7265625" customWidth="1" style="662" min="9482" max="9482"/>
    <col width="9.1796875" customWidth="1" style="662" min="9483" max="9483"/>
    <col width="11.81640625" customWidth="1" style="662" min="9484" max="9484"/>
    <col width="9.1796875" customWidth="1" style="662" min="9485" max="9728"/>
    <col width="3.81640625" customWidth="1" style="662" min="9729" max="9729"/>
    <col width="9.1796875" customWidth="1" style="662" min="9730" max="9737"/>
    <col width="10.7265625" customWidth="1" style="662" min="9738" max="9738"/>
    <col width="9.1796875" customWidth="1" style="662" min="9739" max="9739"/>
    <col width="11.81640625" customWidth="1" style="662" min="9740" max="9740"/>
    <col width="9.1796875" customWidth="1" style="662" min="9741" max="9984"/>
    <col width="3.81640625" customWidth="1" style="662" min="9985" max="9985"/>
    <col width="9.1796875" customWidth="1" style="662" min="9986" max="9993"/>
    <col width="10.7265625" customWidth="1" style="662" min="9994" max="9994"/>
    <col width="9.1796875" customWidth="1" style="662" min="9995" max="9995"/>
    <col width="11.81640625" customWidth="1" style="662" min="9996" max="9996"/>
    <col width="9.1796875" customWidth="1" style="662" min="9997" max="10240"/>
    <col width="3.81640625" customWidth="1" style="662" min="10241" max="10241"/>
    <col width="9.1796875" customWidth="1" style="662" min="10242" max="10249"/>
    <col width="10.7265625" customWidth="1" style="662" min="10250" max="10250"/>
    <col width="9.1796875" customWidth="1" style="662" min="10251" max="10251"/>
    <col width="11.81640625" customWidth="1" style="662" min="10252" max="10252"/>
    <col width="9.1796875" customWidth="1" style="662" min="10253" max="10496"/>
    <col width="3.81640625" customWidth="1" style="662" min="10497" max="10497"/>
    <col width="9.1796875" customWidth="1" style="662" min="10498" max="10505"/>
    <col width="10.7265625" customWidth="1" style="662" min="10506" max="10506"/>
    <col width="9.1796875" customWidth="1" style="662" min="10507" max="10507"/>
    <col width="11.81640625" customWidth="1" style="662" min="10508" max="10508"/>
    <col width="9.1796875" customWidth="1" style="662" min="10509" max="10752"/>
    <col width="3.81640625" customWidth="1" style="662" min="10753" max="10753"/>
    <col width="9.1796875" customWidth="1" style="662" min="10754" max="10761"/>
    <col width="10.7265625" customWidth="1" style="662" min="10762" max="10762"/>
    <col width="9.1796875" customWidth="1" style="662" min="10763" max="10763"/>
    <col width="11.81640625" customWidth="1" style="662" min="10764" max="10764"/>
    <col width="9.1796875" customWidth="1" style="662" min="10765" max="11008"/>
    <col width="3.81640625" customWidth="1" style="662" min="11009" max="11009"/>
    <col width="9.1796875" customWidth="1" style="662" min="11010" max="11017"/>
    <col width="10.7265625" customWidth="1" style="662" min="11018" max="11018"/>
    <col width="9.1796875" customWidth="1" style="662" min="11019" max="11019"/>
    <col width="11.81640625" customWidth="1" style="662" min="11020" max="11020"/>
    <col width="9.1796875" customWidth="1" style="662" min="11021" max="11264"/>
    <col width="3.81640625" customWidth="1" style="662" min="11265" max="11265"/>
    <col width="9.1796875" customWidth="1" style="662" min="11266" max="11273"/>
    <col width="10.7265625" customWidth="1" style="662" min="11274" max="11274"/>
    <col width="9.1796875" customWidth="1" style="662" min="11275" max="11275"/>
    <col width="11.81640625" customWidth="1" style="662" min="11276" max="11276"/>
    <col width="9.1796875" customWidth="1" style="662" min="11277" max="11520"/>
    <col width="3.81640625" customWidth="1" style="662" min="11521" max="11521"/>
    <col width="9.1796875" customWidth="1" style="662" min="11522" max="11529"/>
    <col width="10.7265625" customWidth="1" style="662" min="11530" max="11530"/>
    <col width="9.1796875" customWidth="1" style="662" min="11531" max="11531"/>
    <col width="11.81640625" customWidth="1" style="662" min="11532" max="11532"/>
    <col width="9.1796875" customWidth="1" style="662" min="11533" max="11776"/>
    <col width="3.81640625" customWidth="1" style="662" min="11777" max="11777"/>
    <col width="9.1796875" customWidth="1" style="662" min="11778" max="11785"/>
    <col width="10.7265625" customWidth="1" style="662" min="11786" max="11786"/>
    <col width="9.1796875" customWidth="1" style="662" min="11787" max="11787"/>
    <col width="11.81640625" customWidth="1" style="662" min="11788" max="11788"/>
    <col width="9.1796875" customWidth="1" style="662" min="11789" max="12032"/>
    <col width="3.81640625" customWidth="1" style="662" min="12033" max="12033"/>
    <col width="9.1796875" customWidth="1" style="662" min="12034" max="12041"/>
    <col width="10.7265625" customWidth="1" style="662" min="12042" max="12042"/>
    <col width="9.1796875" customWidth="1" style="662" min="12043" max="12043"/>
    <col width="11.81640625" customWidth="1" style="662" min="12044" max="12044"/>
    <col width="9.1796875" customWidth="1" style="662" min="12045" max="12288"/>
    <col width="3.81640625" customWidth="1" style="662" min="12289" max="12289"/>
    <col width="9.1796875" customWidth="1" style="662" min="12290" max="12297"/>
    <col width="10.7265625" customWidth="1" style="662" min="12298" max="12298"/>
    <col width="9.1796875" customWidth="1" style="662" min="12299" max="12299"/>
    <col width="11.81640625" customWidth="1" style="662" min="12300" max="12300"/>
    <col width="9.1796875" customWidth="1" style="662" min="12301" max="12544"/>
    <col width="3.81640625" customWidth="1" style="662" min="12545" max="12545"/>
    <col width="9.1796875" customWidth="1" style="662" min="12546" max="12553"/>
    <col width="10.7265625" customWidth="1" style="662" min="12554" max="12554"/>
    <col width="9.1796875" customWidth="1" style="662" min="12555" max="12555"/>
    <col width="11.81640625" customWidth="1" style="662" min="12556" max="12556"/>
    <col width="9.1796875" customWidth="1" style="662" min="12557" max="12800"/>
    <col width="3.81640625" customWidth="1" style="662" min="12801" max="12801"/>
    <col width="9.1796875" customWidth="1" style="662" min="12802" max="12809"/>
    <col width="10.7265625" customWidth="1" style="662" min="12810" max="12810"/>
    <col width="9.1796875" customWidth="1" style="662" min="12811" max="12811"/>
    <col width="11.81640625" customWidth="1" style="662" min="12812" max="12812"/>
    <col width="9.1796875" customWidth="1" style="662" min="12813" max="13056"/>
    <col width="3.81640625" customWidth="1" style="662" min="13057" max="13057"/>
    <col width="9.1796875" customWidth="1" style="662" min="13058" max="13065"/>
    <col width="10.7265625" customWidth="1" style="662" min="13066" max="13066"/>
    <col width="9.1796875" customWidth="1" style="662" min="13067" max="13067"/>
    <col width="11.81640625" customWidth="1" style="662" min="13068" max="13068"/>
    <col width="9.1796875" customWidth="1" style="662" min="13069" max="13312"/>
    <col width="3.81640625" customWidth="1" style="662" min="13313" max="13313"/>
    <col width="9.1796875" customWidth="1" style="662" min="13314" max="13321"/>
    <col width="10.7265625" customWidth="1" style="662" min="13322" max="13322"/>
    <col width="9.1796875" customWidth="1" style="662" min="13323" max="13323"/>
    <col width="11.81640625" customWidth="1" style="662" min="13324" max="13324"/>
    <col width="9.1796875" customWidth="1" style="662" min="13325" max="13568"/>
    <col width="3.81640625" customWidth="1" style="662" min="13569" max="13569"/>
    <col width="9.1796875" customWidth="1" style="662" min="13570" max="13577"/>
    <col width="10.7265625" customWidth="1" style="662" min="13578" max="13578"/>
    <col width="9.1796875" customWidth="1" style="662" min="13579" max="13579"/>
    <col width="11.81640625" customWidth="1" style="662" min="13580" max="13580"/>
    <col width="9.1796875" customWidth="1" style="662" min="13581" max="13824"/>
    <col width="3.81640625" customWidth="1" style="662" min="13825" max="13825"/>
    <col width="9.1796875" customWidth="1" style="662" min="13826" max="13833"/>
    <col width="10.7265625" customWidth="1" style="662" min="13834" max="13834"/>
    <col width="9.1796875" customWidth="1" style="662" min="13835" max="13835"/>
    <col width="11.81640625" customWidth="1" style="662" min="13836" max="13836"/>
    <col width="9.1796875" customWidth="1" style="662" min="13837" max="14080"/>
    <col width="3.81640625" customWidth="1" style="662" min="14081" max="14081"/>
    <col width="9.1796875" customWidth="1" style="662" min="14082" max="14089"/>
    <col width="10.7265625" customWidth="1" style="662" min="14090" max="14090"/>
    <col width="9.1796875" customWidth="1" style="662" min="14091" max="14091"/>
    <col width="11.81640625" customWidth="1" style="662" min="14092" max="14092"/>
    <col width="9.1796875" customWidth="1" style="662" min="14093" max="14336"/>
    <col width="3.81640625" customWidth="1" style="662" min="14337" max="14337"/>
    <col width="9.1796875" customWidth="1" style="662" min="14338" max="14345"/>
    <col width="10.7265625" customWidth="1" style="662" min="14346" max="14346"/>
    <col width="9.1796875" customWidth="1" style="662" min="14347" max="14347"/>
    <col width="11.81640625" customWidth="1" style="662" min="14348" max="14348"/>
    <col width="9.1796875" customWidth="1" style="662" min="14349" max="14592"/>
    <col width="3.81640625" customWidth="1" style="662" min="14593" max="14593"/>
    <col width="9.1796875" customWidth="1" style="662" min="14594" max="14601"/>
    <col width="10.7265625" customWidth="1" style="662" min="14602" max="14602"/>
    <col width="9.1796875" customWidth="1" style="662" min="14603" max="14603"/>
    <col width="11.81640625" customWidth="1" style="662" min="14604" max="14604"/>
    <col width="9.1796875" customWidth="1" style="662" min="14605" max="14848"/>
    <col width="3.81640625" customWidth="1" style="662" min="14849" max="14849"/>
    <col width="9.1796875" customWidth="1" style="662" min="14850" max="14857"/>
    <col width="10.7265625" customWidth="1" style="662" min="14858" max="14858"/>
    <col width="9.1796875" customWidth="1" style="662" min="14859" max="14859"/>
    <col width="11.81640625" customWidth="1" style="662" min="14860" max="14860"/>
    <col width="9.1796875" customWidth="1" style="662" min="14861" max="15104"/>
    <col width="3.81640625" customWidth="1" style="662" min="15105" max="15105"/>
    <col width="9.1796875" customWidth="1" style="662" min="15106" max="15113"/>
    <col width="10.7265625" customWidth="1" style="662" min="15114" max="15114"/>
    <col width="9.1796875" customWidth="1" style="662" min="15115" max="15115"/>
    <col width="11.81640625" customWidth="1" style="662" min="15116" max="15116"/>
    <col width="9.1796875" customWidth="1" style="662" min="15117" max="15360"/>
    <col width="3.81640625" customWidth="1" style="662" min="15361" max="15361"/>
    <col width="9.1796875" customWidth="1" style="662" min="15362" max="15369"/>
    <col width="10.7265625" customWidth="1" style="662" min="15370" max="15370"/>
    <col width="9.1796875" customWidth="1" style="662" min="15371" max="15371"/>
    <col width="11.81640625" customWidth="1" style="662" min="15372" max="15372"/>
    <col width="9.1796875" customWidth="1" style="662" min="15373" max="15616"/>
    <col width="3.81640625" customWidth="1" style="662" min="15617" max="15617"/>
    <col width="9.1796875" customWidth="1" style="662" min="15618" max="15625"/>
    <col width="10.7265625" customWidth="1" style="662" min="15626" max="15626"/>
    <col width="9.1796875" customWidth="1" style="662" min="15627" max="15627"/>
    <col width="11.81640625" customWidth="1" style="662" min="15628" max="15628"/>
    <col width="9.1796875" customWidth="1" style="662" min="15629" max="15872"/>
    <col width="3.81640625" customWidth="1" style="662" min="15873" max="15873"/>
    <col width="9.1796875" customWidth="1" style="662" min="15874" max="15881"/>
    <col width="10.7265625" customWidth="1" style="662" min="15882" max="15882"/>
    <col width="9.1796875" customWidth="1" style="662" min="15883" max="15883"/>
    <col width="11.81640625" customWidth="1" style="662" min="15884" max="15884"/>
    <col width="9.1796875" customWidth="1" style="662" min="15885" max="16128"/>
    <col width="3.81640625" customWidth="1" style="662" min="16129" max="16129"/>
    <col width="9.1796875" customWidth="1" style="662" min="16130" max="16137"/>
    <col width="10.7265625" customWidth="1" style="662" min="16138" max="16138"/>
    <col width="9.1796875" customWidth="1" style="662" min="16139" max="16139"/>
    <col width="11.81640625" customWidth="1" style="662" min="16140" max="16140"/>
    <col width="9.1796875" customWidth="1" style="662" min="16141" max="16384"/>
  </cols>
  <sheetData>
    <row r="1" ht="32.25" customHeight="1">
      <c r="A1" s="895" t="inlineStr">
        <is>
          <t>MPCI</t>
        </is>
      </c>
      <c r="B1" s="657" t="inlineStr">
        <is>
          <t>BOWL NUMBER</t>
        </is>
      </c>
      <c r="C1" s="856" t="n"/>
      <c r="D1" s="856" t="n"/>
      <c r="E1" s="856" t="n"/>
      <c r="F1" s="856" t="n"/>
      <c r="G1" s="856" t="n"/>
      <c r="H1" s="857" t="n"/>
      <c r="I1" s="558" t="inlineStr">
        <is>
          <t>DOC: FRM-112</t>
        </is>
      </c>
      <c r="J1" s="857" t="n"/>
      <c r="K1" s="558" t="inlineStr">
        <is>
          <t>REVISION LEVEL: 002</t>
        </is>
      </c>
      <c r="L1" s="857" t="n"/>
      <c r="M1" s="558" t="inlineStr">
        <is>
          <t>ISSUE DATE:  10/25/05</t>
        </is>
      </c>
      <c r="N1" s="857" t="n"/>
      <c r="Q1" s="46" t="n"/>
      <c r="R1" s="46" t="n"/>
      <c r="S1" s="46" t="n"/>
      <c r="T1" s="46" t="n"/>
      <c r="U1" s="46" t="n"/>
      <c r="V1" s="46" t="n"/>
      <c r="W1" s="46" t="n"/>
      <c r="X1" s="46" t="n"/>
      <c r="Y1" s="46" t="n"/>
      <c r="Z1" s="46" t="n"/>
      <c r="AA1" s="46" t="n"/>
      <c r="AB1" s="46" t="n"/>
      <c r="AC1" s="46" t="n"/>
      <c r="AD1" s="46" t="n"/>
      <c r="AE1" s="46" t="n"/>
      <c r="AF1" s="46" t="n"/>
      <c r="AG1" s="46" t="n"/>
      <c r="AH1" s="46" t="n"/>
      <c r="AI1" s="46" t="n"/>
      <c r="AJ1" s="46" t="n"/>
      <c r="AK1" s="46" t="n"/>
      <c r="AL1" s="46" t="n"/>
      <c r="AM1" s="46" t="n"/>
      <c r="AN1" s="46" t="n"/>
      <c r="AO1" s="46" t="n"/>
      <c r="AP1" s="46" t="n"/>
      <c r="AQ1" s="46" t="n"/>
      <c r="AR1" s="46" t="n"/>
      <c r="AS1" s="46" t="n"/>
      <c r="AT1" s="46" t="n"/>
      <c r="AU1" s="46" t="n"/>
      <c r="AV1" s="46" t="n"/>
      <c r="AW1" s="46" t="n"/>
      <c r="AX1" s="46" t="n"/>
      <c r="AY1" s="46" t="n"/>
      <c r="AZ1" s="46" t="n"/>
      <c r="BA1" s="46" t="n"/>
      <c r="BB1" s="46" t="n"/>
      <c r="BC1" s="46" t="n"/>
      <c r="BD1" s="46" t="n"/>
      <c r="BE1" s="46" t="n"/>
      <c r="BF1" s="46" t="n"/>
      <c r="BG1" s="46" t="n"/>
      <c r="BH1" s="46" t="n"/>
      <c r="BI1" s="46" t="n"/>
      <c r="BJ1" s="46" t="n"/>
      <c r="BK1" s="46" t="n"/>
      <c r="BL1" s="46" t="n"/>
      <c r="BM1" s="46" t="n"/>
      <c r="BO1" s="46" t="n"/>
      <c r="BP1" s="46" t="n"/>
      <c r="BQ1" s="46" t="n"/>
      <c r="BR1" s="46" t="n"/>
      <c r="BS1" s="46" t="n"/>
      <c r="BT1" s="46" t="n"/>
      <c r="BU1" s="46" t="n"/>
      <c r="BV1" s="46" t="n"/>
      <c r="BW1" s="46" t="n"/>
      <c r="BX1" s="46" t="n"/>
      <c r="BY1" s="46" t="n"/>
      <c r="BZ1" s="46" t="n"/>
      <c r="CA1" s="46" t="n"/>
      <c r="CB1" s="46" t="n"/>
    </row>
    <row r="2" ht="30" customHeight="1">
      <c r="A2" s="846" t="n"/>
      <c r="B2" s="660" t="inlineStr">
        <is>
          <t>Form Reviewed by: Quality Coordinator</t>
        </is>
      </c>
      <c r="C2" s="856" t="n"/>
      <c r="D2" s="857" t="n"/>
      <c r="E2" s="660" t="inlineStr">
        <is>
          <t>Form Approved by: Site Manger</t>
        </is>
      </c>
      <c r="F2" s="856" t="n"/>
      <c r="G2" s="857" t="n"/>
      <c r="H2" s="558" t="inlineStr">
        <is>
          <t>Reference:  Pre-Blends PRO-007 Feeder Operation PRO-010;    Process Step # 3 "Blending" and Step # 4 "Feeding"</t>
        </is>
      </c>
      <c r="I2" s="856" t="n"/>
      <c r="J2" s="856" t="n"/>
      <c r="K2" s="856" t="n"/>
      <c r="L2" s="856" t="n"/>
      <c r="M2" s="856" t="n"/>
      <c r="N2" s="857" t="n"/>
      <c r="Q2" s="46" t="n"/>
      <c r="R2" s="46" t="n"/>
      <c r="S2" s="46" t="n"/>
      <c r="T2" s="46" t="n"/>
      <c r="U2" s="46" t="n"/>
      <c r="V2" s="46" t="n"/>
      <c r="W2" s="46" t="n"/>
      <c r="X2" s="46" t="n"/>
      <c r="Y2" s="46" t="n"/>
      <c r="Z2" s="46" t="n"/>
      <c r="AA2" s="46" t="n"/>
      <c r="AB2" s="46" t="n"/>
      <c r="AC2" s="46" t="n"/>
      <c r="AD2" s="46" t="n"/>
      <c r="AE2" s="46" t="n"/>
      <c r="AF2" s="46" t="n"/>
      <c r="AG2" s="46" t="n"/>
      <c r="AH2" s="46" t="n"/>
      <c r="AI2" s="46" t="n"/>
      <c r="AJ2" s="46" t="n"/>
      <c r="AK2" s="46" t="n"/>
      <c r="AL2" s="46" t="n"/>
      <c r="AM2" s="46" t="n"/>
      <c r="AN2" s="46" t="n"/>
      <c r="AO2" s="46" t="n"/>
      <c r="AP2" s="46" t="n"/>
      <c r="AQ2" s="46" t="n"/>
      <c r="AR2" s="46" t="n"/>
      <c r="AS2" s="46" t="n"/>
      <c r="AT2" s="46" t="n"/>
      <c r="AU2" s="46" t="n"/>
      <c r="AV2" s="46" t="n"/>
      <c r="AW2" s="46" t="n"/>
      <c r="AX2" s="46" t="n"/>
      <c r="AY2" s="46" t="n"/>
      <c r="AZ2" s="46" t="n"/>
      <c r="BA2" s="46" t="n"/>
      <c r="BB2" s="46" t="n"/>
      <c r="BC2" s="46" t="n"/>
      <c r="BD2" s="46" t="n"/>
      <c r="BE2" s="46" t="n"/>
      <c r="BF2" s="46" t="n"/>
      <c r="BG2" s="46" t="n"/>
      <c r="BH2" s="46" t="n"/>
      <c r="BI2" s="46" t="n"/>
      <c r="BJ2" s="46" t="n"/>
      <c r="BK2" s="46" t="n"/>
      <c r="BL2" s="46" t="n"/>
      <c r="BM2" s="46" t="n"/>
      <c r="BO2" s="47" t="n"/>
      <c r="BP2" s="47" t="n"/>
      <c r="BQ2" s="47" t="n"/>
      <c r="BR2" s="47" t="n"/>
      <c r="BS2" s="47" t="n"/>
      <c r="BT2" s="47" t="n"/>
      <c r="BU2" s="47" t="n"/>
      <c r="BV2" s="47" t="n"/>
      <c r="BW2" s="47" t="n"/>
      <c r="BX2" s="47" t="n"/>
      <c r="BY2" s="47" t="n"/>
      <c r="BZ2" s="47" t="n"/>
      <c r="CA2" s="47" t="n"/>
      <c r="CB2" s="47" t="n"/>
    </row>
    <row r="4" ht="47.25" customHeight="1"/>
    <row r="5" ht="55.5" customHeight="1" thickBot="1">
      <c r="A5" s="661" t="inlineStr">
        <is>
          <t>JOB #:</t>
        </is>
      </c>
      <c r="H5" s="663">
        <f>IF(JobNumber&lt;&gt;0,JobNumber,"")</f>
        <v/>
      </c>
      <c r="I5" s="896" t="n"/>
      <c r="J5" s="896" t="n"/>
      <c r="K5" s="896" t="n"/>
      <c r="L5" s="896" t="n"/>
      <c r="M5" s="896" t="n"/>
      <c r="N5" s="896" t="n"/>
    </row>
    <row r="6" ht="13.5" customHeight="1">
      <c r="A6" s="194" t="n"/>
    </row>
    <row r="7" ht="57.75" customHeight="1" thickBot="1">
      <c r="A7" s="661" t="inlineStr">
        <is>
          <t>LINE #:</t>
        </is>
      </c>
      <c r="H7" s="663">
        <f>IF(ProductionLineNumber&lt;&gt;0,ProductionLineNumber,"")</f>
        <v/>
      </c>
      <c r="I7" s="896" t="n"/>
      <c r="J7" s="896" t="n"/>
      <c r="K7" s="896" t="n"/>
      <c r="L7" s="896" t="n"/>
      <c r="M7" s="896" t="n"/>
      <c r="N7" s="896" t="n"/>
    </row>
    <row r="8" ht="18" customHeight="1">
      <c r="A8" s="194" t="n"/>
    </row>
    <row r="9" ht="65.25" customHeight="1" thickBot="1">
      <c r="A9" s="661" t="inlineStr">
        <is>
          <t>BLEND #:</t>
        </is>
      </c>
      <c r="H9" s="663" t="n"/>
      <c r="I9" s="896" t="n"/>
      <c r="J9" s="896" t="n"/>
      <c r="K9" s="896" t="n"/>
      <c r="L9" s="896" t="n"/>
      <c r="M9" s="896" t="n"/>
      <c r="N9" s="896" t="n"/>
    </row>
    <row r="10" ht="21.75" customHeight="1">
      <c r="A10" s="194" t="n"/>
    </row>
    <row r="11" ht="64.5" customHeight="1" thickBot="1">
      <c r="A11" s="661" t="inlineStr">
        <is>
          <t>WEIGHT:</t>
        </is>
      </c>
      <c r="H11" s="663" t="n"/>
      <c r="I11" s="896" t="n"/>
      <c r="J11" s="896" t="n"/>
      <c r="K11" s="896" t="n"/>
      <c r="L11" s="896" t="n"/>
      <c r="M11" s="896" t="n"/>
      <c r="N11" s="896" t="n"/>
    </row>
  </sheetData>
  <sheetProtection selectLockedCells="1" selectUnlockedCells="0" sheet="1" objects="1" insertRows="1" insertHyperlinks="1" autoFilter="1" scenarios="1" formatColumns="1" deleteColumns="1" insertColumns="1" pivotTables="1" deleteRows="1" formatCells="1" formatRows="1" sort="1"/>
  <mergeCells count="16">
    <mergeCell ref="A11:G11"/>
    <mergeCell ref="H11:N11"/>
    <mergeCell ref="A5:G5"/>
    <mergeCell ref="H5:N5"/>
    <mergeCell ref="A7:G7"/>
    <mergeCell ref="H7:N7"/>
    <mergeCell ref="A9:G9"/>
    <mergeCell ref="H9:N9"/>
    <mergeCell ref="A1:A2"/>
    <mergeCell ref="B1:H1"/>
    <mergeCell ref="I1:J1"/>
    <mergeCell ref="K1:L1"/>
    <mergeCell ref="M1:N1"/>
    <mergeCell ref="B2:D2"/>
    <mergeCell ref="E2:G2"/>
    <mergeCell ref="H2:N2"/>
  </mergeCells>
  <printOptions horizontalCentered="1"/>
  <pageMargins left="0.25" right="0.25" top="0.5" bottom="0.75" header="0.5" footer="0.5"/>
  <pageSetup orientation="landscape"/>
  <headerFooter alignWithMargins="0">
    <oddHeader/>
    <oddFooter>&amp;LNETWORK ADDRESS:  _x000a_MPCI data\Forms\_x000a_Production and Operation Forms&amp;C&amp;P of &amp;N&amp;RRETENTION REQUIREMENT:_x000a_N/A not a record</oddFooter>
    <evenHeader/>
    <evenFooter/>
    <firstHeader/>
    <firstFooter/>
  </headerFooter>
</worksheet>
</file>

<file path=xl/worksheets/sheet6.xml><?xml version="1.0" encoding="utf-8"?>
<worksheet xmlns="http://schemas.openxmlformats.org/spreadsheetml/2006/main">
  <sheetPr codeName="Sheet8">
    <outlinePr summaryBelow="1" summaryRight="1"/>
    <pageSetUpPr fitToPage="1"/>
  </sheetPr>
  <dimension ref="A1:Q19"/>
  <sheetViews>
    <sheetView showGridLines="0" view="pageBreakPreview" zoomScale="85" zoomScaleNormal="55" zoomScaleSheetLayoutView="85" workbookViewId="0">
      <selection activeCell="E3" sqref="E3"/>
    </sheetView>
  </sheetViews>
  <sheetFormatPr baseColWidth="8" defaultColWidth="9.1796875" defaultRowHeight="12.5"/>
  <cols>
    <col width="10.54296875" customWidth="1" style="662" min="1" max="3"/>
    <col width="25.54296875" customWidth="1" style="662" min="4" max="4"/>
    <col width="15.54296875" customWidth="1" style="662" min="5" max="5"/>
    <col width="10.54296875" customWidth="1" style="662" min="6" max="14"/>
    <col width="12.54296875" customWidth="1" style="662" min="15" max="17"/>
    <col width="9.1796875" customWidth="1" style="662" min="18" max="16384"/>
  </cols>
  <sheetData>
    <row r="1" ht="30" customHeight="1" thickBot="1">
      <c r="A1" s="897" t="inlineStr">
        <is>
          <t>MPCI</t>
        </is>
      </c>
      <c r="B1" s="898" t="n"/>
      <c r="C1" s="899" t="inlineStr">
        <is>
          <t>PARAMETER CHANGE RECORD</t>
        </is>
      </c>
      <c r="D1" s="900" t="n"/>
      <c r="E1" s="900" t="n"/>
      <c r="F1" s="900" t="n"/>
      <c r="G1" s="900" t="n"/>
      <c r="H1" s="900" t="n"/>
      <c r="I1" s="900" t="n"/>
      <c r="J1" s="900" t="n"/>
      <c r="K1" s="900" t="n"/>
      <c r="L1" s="901" t="n"/>
      <c r="M1" s="195" t="inlineStr">
        <is>
          <t>DOC:        FRM-134</t>
        </is>
      </c>
      <c r="N1" s="902" t="inlineStr">
        <is>
          <t>REVISION LEVEL: 006</t>
        </is>
      </c>
      <c r="O1" s="901" t="n"/>
      <c r="P1" s="903" t="inlineStr">
        <is>
          <t>ISSUE DATE: 1/28/19</t>
        </is>
      </c>
      <c r="Q1" s="901" t="n"/>
    </row>
    <row r="2" ht="35.15" customHeight="1" thickBot="1">
      <c r="A2" s="904" t="n"/>
      <c r="B2" s="905" t="n"/>
      <c r="C2" s="676" t="inlineStr">
        <is>
          <t>Form Reviewed By: Quality Coordinator</t>
        </is>
      </c>
      <c r="D2" s="900" t="n"/>
      <c r="E2" s="906" t="inlineStr">
        <is>
          <t>Form Approved By: Site Manager</t>
        </is>
      </c>
      <c r="F2" s="900" t="n"/>
      <c r="G2" s="901" t="n"/>
      <c r="H2" s="907" t="inlineStr">
        <is>
          <t>Reference:  Compounding Operation PRO-012; PRO010 Feeder Operations;   Process Step # 5 "Compounding and Pelletizing" on the Control Plan</t>
        </is>
      </c>
      <c r="I2" s="900" t="n"/>
      <c r="J2" s="900" t="n"/>
      <c r="K2" s="900" t="n"/>
      <c r="L2" s="900" t="n"/>
      <c r="M2" s="900" t="n"/>
      <c r="N2" s="900" t="n"/>
      <c r="O2" s="900" t="n"/>
      <c r="P2" s="900" t="n"/>
      <c r="Q2" s="901" t="n"/>
    </row>
    <row r="3" ht="35.15" customHeight="1" thickBot="1">
      <c r="A3" s="196" t="inlineStr">
        <is>
          <t>Line:</t>
        </is>
      </c>
      <c r="B3" s="531">
        <f>IF(ProductionLineNumber&lt;&gt;0,ProductionLineNumber,"")</f>
        <v/>
      </c>
      <c r="C3" s="196" t="inlineStr">
        <is>
          <t>Job:</t>
        </is>
      </c>
      <c r="D3" s="532">
        <f>IF(JobNumber&lt;&gt;0,JobNumber,"")</f>
        <v/>
      </c>
      <c r="E3" s="197" t="n"/>
      <c r="F3" s="197" t="n"/>
      <c r="G3" s="198" t="n"/>
      <c r="H3" s="199" t="n"/>
      <c r="I3" s="200" t="n"/>
      <c r="J3" s="200" t="n"/>
      <c r="K3" s="200" t="n"/>
      <c r="L3" s="200" t="n"/>
      <c r="M3" s="200" t="n"/>
      <c r="N3" s="200" t="n"/>
      <c r="O3" s="200" t="n"/>
      <c r="P3" s="200" t="n"/>
      <c r="Q3" s="201" t="n"/>
    </row>
    <row r="4" ht="65.15000000000001" customHeight="1">
      <c r="A4" s="908" t="inlineStr">
        <is>
          <t>All fields to be completed by the individual requesting a change for all types of changes</t>
        </is>
      </c>
      <c r="B4" s="909" t="n"/>
      <c r="C4" s="909" t="n"/>
      <c r="D4" s="909" t="n"/>
      <c r="E4" s="909" t="n"/>
      <c r="F4" s="909" t="n"/>
      <c r="G4" s="910" t="n"/>
      <c r="H4" s="908" t="inlineStr">
        <is>
          <t>All fields to be completed by the current lab tech for all changes that involve feeder set point changes</t>
        </is>
      </c>
      <c r="I4" s="909" t="n"/>
      <c r="J4" s="909" t="n"/>
      <c r="K4" s="909" t="n"/>
      <c r="L4" s="910" t="n"/>
      <c r="M4" s="911" t="inlineStr">
        <is>
          <t>All fields to be completed by the individual that actually makes the change at the line</t>
        </is>
      </c>
      <c r="N4" s="910" t="n"/>
      <c r="O4" s="911" t="inlineStr">
        <is>
          <t>All fields to be completed by shift supervision (other than initiator or person making the change) for all types of changes</t>
        </is>
      </c>
      <c r="P4" s="909" t="n"/>
      <c r="Q4" s="910" t="n"/>
    </row>
    <row r="5" ht="65.15000000000001" customHeight="1">
      <c r="A5" s="202" t="inlineStr">
        <is>
          <t>Date</t>
        </is>
      </c>
      <c r="B5" s="203" t="inlineStr">
        <is>
          <t>Time</t>
        </is>
      </c>
      <c r="C5" s="204" t="inlineStr">
        <is>
          <t>Person Initiating Change</t>
        </is>
      </c>
      <c r="D5" s="559" t="inlineStr">
        <is>
          <t>What is Changing?</t>
        </is>
      </c>
      <c r="E5" s="857" t="n"/>
      <c r="F5" s="204" t="inlineStr">
        <is>
          <t>Current Set Point Value</t>
        </is>
      </c>
      <c r="G5" s="205" t="inlineStr">
        <is>
          <t>New Set Point Value</t>
        </is>
      </c>
      <c r="H5" s="206" t="inlineStr">
        <is>
          <t>Feeder Change %        (include direction)</t>
        </is>
      </c>
      <c r="I5" s="204" t="inlineStr">
        <is>
          <t>Total Feeder Change % (include direction)</t>
        </is>
      </c>
      <c r="J5" s="204" t="inlineStr">
        <is>
          <t>Max Feeder Change % Allowed per BOM or Waiver</t>
        </is>
      </c>
      <c r="K5" s="204" t="inlineStr">
        <is>
          <t>Feeder #</t>
        </is>
      </c>
      <c r="L5" s="205" t="inlineStr">
        <is>
          <t>Lab Tech Initials</t>
        </is>
      </c>
      <c r="M5" s="206" t="inlineStr">
        <is>
          <t>Set Point Changed by</t>
        </is>
      </c>
      <c r="N5" s="205" t="inlineStr">
        <is>
          <t>Change Time</t>
        </is>
      </c>
      <c r="O5" s="206" t="inlineStr">
        <is>
          <t>Change Request Reviewed by</t>
        </is>
      </c>
      <c r="P5" s="204" t="inlineStr">
        <is>
          <t>Change Request Confirmed At the Line by</t>
        </is>
      </c>
      <c r="Q5" s="205" t="inlineStr">
        <is>
          <t>Line Hr Meter Reading at Time of Confirmation</t>
        </is>
      </c>
    </row>
    <row r="6" ht="45" customHeight="1">
      <c r="A6" s="207" t="n"/>
      <c r="B6" s="834" t="n"/>
      <c r="C6" s="834" t="n"/>
      <c r="D6" s="585" t="n"/>
      <c r="E6" s="586" t="n"/>
      <c r="F6" s="834" t="n"/>
      <c r="G6" s="211" t="n"/>
      <c r="H6" s="207" t="n"/>
      <c r="I6" s="834" t="n"/>
      <c r="J6" s="834" t="n"/>
      <c r="K6" s="834" t="n"/>
      <c r="L6" s="211" t="n"/>
      <c r="M6" s="207" t="n"/>
      <c r="N6" s="211" t="n"/>
      <c r="O6" s="207" t="n"/>
      <c r="P6" s="834" t="n"/>
      <c r="Q6" s="211" t="n"/>
    </row>
    <row r="7" ht="45" customHeight="1">
      <c r="A7" s="207" t="n"/>
      <c r="B7" s="834" t="n"/>
      <c r="C7" s="834" t="n"/>
      <c r="D7" s="585" t="n"/>
      <c r="E7" s="586" t="n"/>
      <c r="F7" s="834" t="n"/>
      <c r="G7" s="211" t="n"/>
      <c r="H7" s="207" t="n"/>
      <c r="I7" s="834" t="n"/>
      <c r="J7" s="834" t="n"/>
      <c r="K7" s="834" t="n"/>
      <c r="L7" s="211" t="n"/>
      <c r="M7" s="207" t="n"/>
      <c r="N7" s="211" t="n"/>
      <c r="O7" s="207" t="n"/>
      <c r="P7" s="834" t="n"/>
      <c r="Q7" s="211" t="n"/>
    </row>
    <row r="8" ht="45" customHeight="1">
      <c r="A8" s="207" t="n"/>
      <c r="B8" s="834" t="n"/>
      <c r="C8" s="834" t="n"/>
      <c r="D8" s="585" t="n"/>
      <c r="E8" s="586" t="n"/>
      <c r="F8" s="834" t="n"/>
      <c r="G8" s="211" t="n"/>
      <c r="H8" s="207" t="n"/>
      <c r="I8" s="834" t="n"/>
      <c r="J8" s="834" t="n"/>
      <c r="K8" s="834" t="n"/>
      <c r="L8" s="211" t="n"/>
      <c r="M8" s="207" t="n"/>
      <c r="N8" s="211" t="n"/>
      <c r="O8" s="207" t="n"/>
      <c r="P8" s="834" t="n"/>
      <c r="Q8" s="211" t="n"/>
    </row>
    <row r="9" ht="45" customHeight="1">
      <c r="A9" s="207" t="n"/>
      <c r="B9" s="834" t="n"/>
      <c r="C9" s="834" t="n"/>
      <c r="D9" s="585" t="n"/>
      <c r="E9" s="586" t="n"/>
      <c r="F9" s="834" t="n"/>
      <c r="G9" s="211" t="n"/>
      <c r="H9" s="207" t="n"/>
      <c r="I9" s="834" t="n"/>
      <c r="J9" s="834" t="n"/>
      <c r="K9" s="834" t="n"/>
      <c r="L9" s="211" t="n"/>
      <c r="M9" s="207" t="n"/>
      <c r="N9" s="211" t="n"/>
      <c r="O9" s="207" t="n"/>
      <c r="P9" s="834" t="n"/>
      <c r="Q9" s="211" t="n"/>
    </row>
    <row r="10" ht="45" customHeight="1">
      <c r="A10" s="207" t="n"/>
      <c r="B10" s="834" t="n"/>
      <c r="C10" s="834" t="n"/>
      <c r="D10" s="585" t="n"/>
      <c r="E10" s="586" t="n"/>
      <c r="F10" s="834" t="n"/>
      <c r="G10" s="211" t="n"/>
      <c r="H10" s="207" t="n"/>
      <c r="I10" s="834" t="n"/>
      <c r="J10" s="834" t="n"/>
      <c r="K10" s="834" t="n"/>
      <c r="L10" s="211" t="n"/>
      <c r="M10" s="207" t="n"/>
      <c r="N10" s="211" t="n"/>
      <c r="O10" s="207" t="n"/>
      <c r="P10" s="834" t="n"/>
      <c r="Q10" s="211" t="n"/>
    </row>
    <row r="11" ht="45" customHeight="1">
      <c r="A11" s="207" t="n"/>
      <c r="B11" s="834" t="n"/>
      <c r="C11" s="834" t="n"/>
      <c r="D11" s="585" t="n"/>
      <c r="E11" s="586" t="n"/>
      <c r="F11" s="834" t="n"/>
      <c r="G11" s="211" t="n"/>
      <c r="H11" s="207" t="n"/>
      <c r="I11" s="834" t="n"/>
      <c r="J11" s="834" t="n"/>
      <c r="K11" s="834" t="n"/>
      <c r="L11" s="211" t="n"/>
      <c r="M11" s="207" t="n"/>
      <c r="N11" s="211" t="n"/>
      <c r="O11" s="207" t="n"/>
      <c r="P11" s="834" t="n"/>
      <c r="Q11" s="211" t="n"/>
    </row>
    <row r="12" ht="45" customHeight="1">
      <c r="A12" s="207" t="n"/>
      <c r="B12" s="834" t="n"/>
      <c r="C12" s="834" t="n"/>
      <c r="D12" s="585" t="n"/>
      <c r="E12" s="586" t="n"/>
      <c r="F12" s="834" t="n"/>
      <c r="G12" s="211" t="n"/>
      <c r="H12" s="207" t="n"/>
      <c r="I12" s="834" t="n"/>
      <c r="J12" s="834" t="n"/>
      <c r="K12" s="834" t="n"/>
      <c r="L12" s="211" t="n"/>
      <c r="M12" s="207" t="n"/>
      <c r="N12" s="211" t="n"/>
      <c r="O12" s="207" t="n"/>
      <c r="P12" s="834" t="n"/>
      <c r="Q12" s="211" t="n"/>
    </row>
    <row r="13" ht="45" customHeight="1">
      <c r="A13" s="207" t="n"/>
      <c r="B13" s="834" t="n"/>
      <c r="C13" s="834" t="n"/>
      <c r="D13" s="585" t="n"/>
      <c r="E13" s="586" t="n"/>
      <c r="F13" s="834" t="n"/>
      <c r="G13" s="211" t="n"/>
      <c r="H13" s="207" t="n"/>
      <c r="I13" s="834" t="n"/>
      <c r="J13" s="834" t="n"/>
      <c r="K13" s="834" t="n"/>
      <c r="L13" s="211" t="n"/>
      <c r="M13" s="207" t="n"/>
      <c r="N13" s="211" t="n"/>
      <c r="O13" s="207" t="n"/>
      <c r="P13" s="834" t="n"/>
      <c r="Q13" s="211" t="n"/>
    </row>
    <row r="14" ht="45" customHeight="1">
      <c r="A14" s="207" t="n"/>
      <c r="B14" s="834" t="n"/>
      <c r="C14" s="834" t="n"/>
      <c r="D14" s="585" t="n"/>
      <c r="E14" s="586" t="n"/>
      <c r="F14" s="834" t="n"/>
      <c r="G14" s="211" t="n"/>
      <c r="H14" s="207" t="n"/>
      <c r="I14" s="834" t="n"/>
      <c r="J14" s="834" t="n"/>
      <c r="K14" s="834" t="n"/>
      <c r="L14" s="211" t="n"/>
      <c r="M14" s="207" t="n"/>
      <c r="N14" s="211" t="n"/>
      <c r="O14" s="207" t="n"/>
      <c r="P14" s="834" t="n"/>
      <c r="Q14" s="211" t="n"/>
    </row>
    <row r="15" ht="45" customHeight="1">
      <c r="A15" s="207" t="n"/>
      <c r="B15" s="834" t="n"/>
      <c r="C15" s="834" t="n"/>
      <c r="D15" s="585" t="n"/>
      <c r="E15" s="586" t="n"/>
      <c r="F15" s="834" t="n"/>
      <c r="G15" s="211" t="n"/>
      <c r="H15" s="207" t="n"/>
      <c r="I15" s="834" t="n"/>
      <c r="J15" s="834" t="n"/>
      <c r="K15" s="834" t="n"/>
      <c r="L15" s="211" t="n"/>
      <c r="M15" s="207" t="n"/>
      <c r="N15" s="211" t="n"/>
      <c r="O15" s="207" t="n"/>
      <c r="P15" s="834" t="n"/>
      <c r="Q15" s="211" t="n"/>
    </row>
    <row r="16" ht="45" customHeight="1">
      <c r="A16" s="207" t="n"/>
      <c r="B16" s="834" t="n"/>
      <c r="C16" s="834" t="n"/>
      <c r="D16" s="585" t="n"/>
      <c r="E16" s="586" t="n"/>
      <c r="F16" s="834" t="n"/>
      <c r="G16" s="211" t="n"/>
      <c r="H16" s="207" t="n"/>
      <c r="I16" s="834" t="n"/>
      <c r="J16" s="834" t="n"/>
      <c r="K16" s="834" t="n"/>
      <c r="L16" s="211" t="n"/>
      <c r="M16" s="207" t="n"/>
      <c r="N16" s="211" t="n"/>
      <c r="O16" s="207" t="n"/>
      <c r="P16" s="834" t="n"/>
      <c r="Q16" s="211" t="n"/>
    </row>
    <row r="17" ht="45" customHeight="1">
      <c r="A17" s="207" t="n"/>
      <c r="B17" s="834" t="n"/>
      <c r="C17" s="834" t="n"/>
      <c r="D17" s="585" t="n"/>
      <c r="E17" s="586" t="n"/>
      <c r="F17" s="834" t="n"/>
      <c r="G17" s="211" t="n"/>
      <c r="H17" s="207" t="n"/>
      <c r="I17" s="834" t="n"/>
      <c r="J17" s="834" t="n"/>
      <c r="K17" s="834" t="n"/>
      <c r="L17" s="211" t="n"/>
      <c r="M17" s="207" t="n"/>
      <c r="N17" s="211" t="n"/>
      <c r="O17" s="207" t="n"/>
      <c r="P17" s="834" t="n"/>
      <c r="Q17" s="211" t="n"/>
    </row>
    <row r="18" ht="45" customHeight="1">
      <c r="A18" s="207" t="n"/>
      <c r="B18" s="834" t="n"/>
      <c r="C18" s="834" t="n"/>
      <c r="D18" s="585" t="n"/>
      <c r="E18" s="586" t="n"/>
      <c r="F18" s="834" t="n"/>
      <c r="G18" s="211" t="n"/>
      <c r="H18" s="207" t="n"/>
      <c r="I18" s="834" t="n"/>
      <c r="J18" s="834" t="n"/>
      <c r="K18" s="834" t="n"/>
      <c r="L18" s="211" t="n"/>
      <c r="M18" s="207" t="n"/>
      <c r="N18" s="211" t="n"/>
      <c r="O18" s="207" t="n"/>
      <c r="P18" s="834" t="n"/>
      <c r="Q18" s="211" t="n"/>
    </row>
    <row r="19" ht="45" customHeight="1" thickBot="1">
      <c r="A19" s="212" t="n"/>
      <c r="B19" s="213" t="n"/>
      <c r="C19" s="213" t="n"/>
      <c r="D19" s="214" t="n"/>
      <c r="E19" s="215" t="n"/>
      <c r="F19" s="213" t="n"/>
      <c r="G19" s="216" t="n"/>
      <c r="H19" s="212" t="n"/>
      <c r="I19" s="213" t="n"/>
      <c r="J19" s="213" t="n"/>
      <c r="K19" s="213" t="n"/>
      <c r="L19" s="216" t="n"/>
      <c r="M19" s="212" t="n"/>
      <c r="N19" s="216" t="n"/>
      <c r="O19" s="212" t="n"/>
      <c r="P19" s="213" t="n"/>
      <c r="Q19" s="216" t="n"/>
    </row>
    <row r="20" ht="35.15" customHeight="1"/>
    <row r="21" ht="35.15" customHeight="1"/>
    <row r="22" ht="35.15" customHeight="1"/>
    <row r="23" ht="35.15" customHeight="1"/>
    <row r="24" ht="35.15" customHeight="1"/>
    <row r="25" ht="35.15" customHeight="1"/>
    <row r="26" ht="35.15" customHeight="1"/>
    <row r="27" ht="35.15" customHeight="1"/>
    <row r="28" ht="35.15" customHeight="1"/>
    <row r="29" ht="35.15" customHeight="1"/>
    <row r="30" ht="35.15" customHeight="1"/>
    <row r="31" ht="76" customHeight="1"/>
    <row r="32" ht="70" customHeight="1"/>
    <row r="34" ht="35.15" customHeight="1"/>
    <row r="35" ht="35.15" customHeight="1"/>
    <row r="36" ht="35.15" customHeight="1"/>
    <row r="37" ht="35.15" customHeight="1"/>
    <row r="38" ht="35.15" customHeight="1"/>
    <row r="39" ht="35.15" customHeight="1"/>
    <row r="40" ht="35.15" customHeight="1"/>
    <row r="41" ht="35.15" customHeight="1"/>
    <row r="42" ht="35.15" customHeight="1"/>
    <row r="43" ht="35.15" customHeight="1"/>
    <row r="44" ht="35.15" customHeight="1"/>
    <row r="45" ht="35.15" customHeight="1"/>
    <row r="46" ht="35.15" customHeight="1"/>
    <row r="47" ht="35.15" customHeight="1"/>
    <row r="48" ht="35.15" customHeight="1"/>
  </sheetData>
  <sheetProtection selectLockedCells="1" selectUnlockedCells="0" sheet="1" objects="1" insertRows="1" insertHyperlinks="1" autoFilter="1" scenarios="1" formatColumns="1" deleteColumns="1" insertColumns="1" pivotTables="1" deleteRows="1" formatCells="1" formatRows="1" sort="1"/>
  <mergeCells count="12">
    <mergeCell ref="A4:G4"/>
    <mergeCell ref="H4:L4"/>
    <mergeCell ref="M4:N4"/>
    <mergeCell ref="O4:Q4"/>
    <mergeCell ref="D5:E5"/>
    <mergeCell ref="A1:B2"/>
    <mergeCell ref="C1:L1"/>
    <mergeCell ref="N1:O1"/>
    <mergeCell ref="P1:Q1"/>
    <mergeCell ref="C2:D2"/>
    <mergeCell ref="E2:G2"/>
    <mergeCell ref="H2:Q2"/>
  </mergeCells>
  <pageMargins left="0.5" right="0.5" top="0.75" bottom="0.75" header="0.3" footer="0.3"/>
  <pageSetup orientation="landscape" scale="58"/>
</worksheet>
</file>

<file path=xl/worksheets/sheet7.xml><?xml version="1.0" encoding="utf-8"?>
<worksheet xmlns="http://schemas.openxmlformats.org/spreadsheetml/2006/main">
  <sheetPr codeName="Sheet25">
    <outlinePr summaryBelow="1" summaryRight="1"/>
    <pageSetUpPr fitToPage="1"/>
  </sheetPr>
  <dimension ref="A1:K25"/>
  <sheetViews>
    <sheetView showGridLines="0" view="pageBreakPreview" zoomScale="85" zoomScaleNormal="100" zoomScaleSheetLayoutView="85" workbookViewId="0">
      <selection activeCell="D6" sqref="D6"/>
    </sheetView>
  </sheetViews>
  <sheetFormatPr baseColWidth="8" defaultRowHeight="12.5"/>
  <cols>
    <col width="37.7265625" customWidth="1" style="662" min="1" max="1"/>
    <col width="27.81640625" customWidth="1" style="662" min="2" max="2"/>
    <col width="36.453125" customWidth="1" style="662" min="3" max="3"/>
    <col width="9.1796875" customWidth="1" style="662" min="4" max="4"/>
    <col width="29.81640625" customWidth="1" style="662" min="5" max="5"/>
    <col width="9.1796875" customWidth="1" style="662" min="6" max="6"/>
    <col width="40.1796875" customWidth="1" style="662" min="7" max="7"/>
    <col width="9.1796875" customWidth="1" style="662" min="8" max="256"/>
    <col width="37.7265625" customWidth="1" style="662" min="257" max="257"/>
    <col width="27.81640625" customWidth="1" style="662" min="258" max="258"/>
    <col width="36.453125" customWidth="1" style="662" min="259" max="259"/>
    <col width="9.1796875" customWidth="1" style="662" min="260" max="260"/>
    <col width="29.81640625" customWidth="1" style="662" min="261" max="261"/>
    <col width="9.1796875" customWidth="1" style="662" min="262" max="262"/>
    <col width="40.1796875" customWidth="1" style="662" min="263" max="263"/>
    <col width="9.1796875" customWidth="1" style="662" min="264" max="512"/>
    <col width="37.7265625" customWidth="1" style="662" min="513" max="513"/>
    <col width="27.81640625" customWidth="1" style="662" min="514" max="514"/>
    <col width="36.453125" customWidth="1" style="662" min="515" max="515"/>
    <col width="9.1796875" customWidth="1" style="662" min="516" max="516"/>
    <col width="29.81640625" customWidth="1" style="662" min="517" max="517"/>
    <col width="9.1796875" customWidth="1" style="662" min="518" max="518"/>
    <col width="40.1796875" customWidth="1" style="662" min="519" max="519"/>
    <col width="9.1796875" customWidth="1" style="662" min="520" max="768"/>
    <col width="37.7265625" customWidth="1" style="662" min="769" max="769"/>
    <col width="27.81640625" customWidth="1" style="662" min="770" max="770"/>
    <col width="36.453125" customWidth="1" style="662" min="771" max="771"/>
    <col width="9.1796875" customWidth="1" style="662" min="772" max="772"/>
    <col width="29.81640625" customWidth="1" style="662" min="773" max="773"/>
    <col width="9.1796875" customWidth="1" style="662" min="774" max="774"/>
    <col width="40.1796875" customWidth="1" style="662" min="775" max="775"/>
    <col width="9.1796875" customWidth="1" style="662" min="776" max="1024"/>
    <col width="37.7265625" customWidth="1" style="662" min="1025" max="1025"/>
    <col width="27.81640625" customWidth="1" style="662" min="1026" max="1026"/>
    <col width="36.453125" customWidth="1" style="662" min="1027" max="1027"/>
    <col width="9.1796875" customWidth="1" style="662" min="1028" max="1028"/>
    <col width="29.81640625" customWidth="1" style="662" min="1029" max="1029"/>
    <col width="9.1796875" customWidth="1" style="662" min="1030" max="1030"/>
    <col width="40.1796875" customWidth="1" style="662" min="1031" max="1031"/>
    <col width="9.1796875" customWidth="1" style="662" min="1032" max="1280"/>
    <col width="37.7265625" customWidth="1" style="662" min="1281" max="1281"/>
    <col width="27.81640625" customWidth="1" style="662" min="1282" max="1282"/>
    <col width="36.453125" customWidth="1" style="662" min="1283" max="1283"/>
    <col width="9.1796875" customWidth="1" style="662" min="1284" max="1284"/>
    <col width="29.81640625" customWidth="1" style="662" min="1285" max="1285"/>
    <col width="9.1796875" customWidth="1" style="662" min="1286" max="1286"/>
    <col width="40.1796875" customWidth="1" style="662" min="1287" max="1287"/>
    <col width="9.1796875" customWidth="1" style="662" min="1288" max="1536"/>
    <col width="37.7265625" customWidth="1" style="662" min="1537" max="1537"/>
    <col width="27.81640625" customWidth="1" style="662" min="1538" max="1538"/>
    <col width="36.453125" customWidth="1" style="662" min="1539" max="1539"/>
    <col width="9.1796875" customWidth="1" style="662" min="1540" max="1540"/>
    <col width="29.81640625" customWidth="1" style="662" min="1541" max="1541"/>
    <col width="9.1796875" customWidth="1" style="662" min="1542" max="1542"/>
    <col width="40.1796875" customWidth="1" style="662" min="1543" max="1543"/>
    <col width="9.1796875" customWidth="1" style="662" min="1544" max="1792"/>
    <col width="37.7265625" customWidth="1" style="662" min="1793" max="1793"/>
    <col width="27.81640625" customWidth="1" style="662" min="1794" max="1794"/>
    <col width="36.453125" customWidth="1" style="662" min="1795" max="1795"/>
    <col width="9.1796875" customWidth="1" style="662" min="1796" max="1796"/>
    <col width="29.81640625" customWidth="1" style="662" min="1797" max="1797"/>
    <col width="9.1796875" customWidth="1" style="662" min="1798" max="1798"/>
    <col width="40.1796875" customWidth="1" style="662" min="1799" max="1799"/>
    <col width="9.1796875" customWidth="1" style="662" min="1800" max="2048"/>
    <col width="37.7265625" customWidth="1" style="662" min="2049" max="2049"/>
    <col width="27.81640625" customWidth="1" style="662" min="2050" max="2050"/>
    <col width="36.453125" customWidth="1" style="662" min="2051" max="2051"/>
    <col width="9.1796875" customWidth="1" style="662" min="2052" max="2052"/>
    <col width="29.81640625" customWidth="1" style="662" min="2053" max="2053"/>
    <col width="9.1796875" customWidth="1" style="662" min="2054" max="2054"/>
    <col width="40.1796875" customWidth="1" style="662" min="2055" max="2055"/>
    <col width="9.1796875" customWidth="1" style="662" min="2056" max="2304"/>
    <col width="37.7265625" customWidth="1" style="662" min="2305" max="2305"/>
    <col width="27.81640625" customWidth="1" style="662" min="2306" max="2306"/>
    <col width="36.453125" customWidth="1" style="662" min="2307" max="2307"/>
    <col width="9.1796875" customWidth="1" style="662" min="2308" max="2308"/>
    <col width="29.81640625" customWidth="1" style="662" min="2309" max="2309"/>
    <col width="9.1796875" customWidth="1" style="662" min="2310" max="2310"/>
    <col width="40.1796875" customWidth="1" style="662" min="2311" max="2311"/>
    <col width="9.1796875" customWidth="1" style="662" min="2312" max="2560"/>
    <col width="37.7265625" customWidth="1" style="662" min="2561" max="2561"/>
    <col width="27.81640625" customWidth="1" style="662" min="2562" max="2562"/>
    <col width="36.453125" customWidth="1" style="662" min="2563" max="2563"/>
    <col width="9.1796875" customWidth="1" style="662" min="2564" max="2564"/>
    <col width="29.81640625" customWidth="1" style="662" min="2565" max="2565"/>
    <col width="9.1796875" customWidth="1" style="662" min="2566" max="2566"/>
    <col width="40.1796875" customWidth="1" style="662" min="2567" max="2567"/>
    <col width="9.1796875" customWidth="1" style="662" min="2568" max="2816"/>
    <col width="37.7265625" customWidth="1" style="662" min="2817" max="2817"/>
    <col width="27.81640625" customWidth="1" style="662" min="2818" max="2818"/>
    <col width="36.453125" customWidth="1" style="662" min="2819" max="2819"/>
    <col width="9.1796875" customWidth="1" style="662" min="2820" max="2820"/>
    <col width="29.81640625" customWidth="1" style="662" min="2821" max="2821"/>
    <col width="9.1796875" customWidth="1" style="662" min="2822" max="2822"/>
    <col width="40.1796875" customWidth="1" style="662" min="2823" max="2823"/>
    <col width="9.1796875" customWidth="1" style="662" min="2824" max="3072"/>
    <col width="37.7265625" customWidth="1" style="662" min="3073" max="3073"/>
    <col width="27.81640625" customWidth="1" style="662" min="3074" max="3074"/>
    <col width="36.453125" customWidth="1" style="662" min="3075" max="3075"/>
    <col width="9.1796875" customWidth="1" style="662" min="3076" max="3076"/>
    <col width="29.81640625" customWidth="1" style="662" min="3077" max="3077"/>
    <col width="9.1796875" customWidth="1" style="662" min="3078" max="3078"/>
    <col width="40.1796875" customWidth="1" style="662" min="3079" max="3079"/>
    <col width="9.1796875" customWidth="1" style="662" min="3080" max="3328"/>
    <col width="37.7265625" customWidth="1" style="662" min="3329" max="3329"/>
    <col width="27.81640625" customWidth="1" style="662" min="3330" max="3330"/>
    <col width="36.453125" customWidth="1" style="662" min="3331" max="3331"/>
    <col width="9.1796875" customWidth="1" style="662" min="3332" max="3332"/>
    <col width="29.81640625" customWidth="1" style="662" min="3333" max="3333"/>
    <col width="9.1796875" customWidth="1" style="662" min="3334" max="3334"/>
    <col width="40.1796875" customWidth="1" style="662" min="3335" max="3335"/>
    <col width="9.1796875" customWidth="1" style="662" min="3336" max="3584"/>
    <col width="37.7265625" customWidth="1" style="662" min="3585" max="3585"/>
    <col width="27.81640625" customWidth="1" style="662" min="3586" max="3586"/>
    <col width="36.453125" customWidth="1" style="662" min="3587" max="3587"/>
    <col width="9.1796875" customWidth="1" style="662" min="3588" max="3588"/>
    <col width="29.81640625" customWidth="1" style="662" min="3589" max="3589"/>
    <col width="9.1796875" customWidth="1" style="662" min="3590" max="3590"/>
    <col width="40.1796875" customWidth="1" style="662" min="3591" max="3591"/>
    <col width="9.1796875" customWidth="1" style="662" min="3592" max="3840"/>
    <col width="37.7265625" customWidth="1" style="662" min="3841" max="3841"/>
    <col width="27.81640625" customWidth="1" style="662" min="3842" max="3842"/>
    <col width="36.453125" customWidth="1" style="662" min="3843" max="3843"/>
    <col width="9.1796875" customWidth="1" style="662" min="3844" max="3844"/>
    <col width="29.81640625" customWidth="1" style="662" min="3845" max="3845"/>
    <col width="9.1796875" customWidth="1" style="662" min="3846" max="3846"/>
    <col width="40.1796875" customWidth="1" style="662" min="3847" max="3847"/>
    <col width="9.1796875" customWidth="1" style="662" min="3848" max="4096"/>
    <col width="37.7265625" customWidth="1" style="662" min="4097" max="4097"/>
    <col width="27.81640625" customWidth="1" style="662" min="4098" max="4098"/>
    <col width="36.453125" customWidth="1" style="662" min="4099" max="4099"/>
    <col width="9.1796875" customWidth="1" style="662" min="4100" max="4100"/>
    <col width="29.81640625" customWidth="1" style="662" min="4101" max="4101"/>
    <col width="9.1796875" customWidth="1" style="662" min="4102" max="4102"/>
    <col width="40.1796875" customWidth="1" style="662" min="4103" max="4103"/>
    <col width="9.1796875" customWidth="1" style="662" min="4104" max="4352"/>
    <col width="37.7265625" customWidth="1" style="662" min="4353" max="4353"/>
    <col width="27.81640625" customWidth="1" style="662" min="4354" max="4354"/>
    <col width="36.453125" customWidth="1" style="662" min="4355" max="4355"/>
    <col width="9.1796875" customWidth="1" style="662" min="4356" max="4356"/>
    <col width="29.81640625" customWidth="1" style="662" min="4357" max="4357"/>
    <col width="9.1796875" customWidth="1" style="662" min="4358" max="4358"/>
    <col width="40.1796875" customWidth="1" style="662" min="4359" max="4359"/>
    <col width="9.1796875" customWidth="1" style="662" min="4360" max="4608"/>
    <col width="37.7265625" customWidth="1" style="662" min="4609" max="4609"/>
    <col width="27.81640625" customWidth="1" style="662" min="4610" max="4610"/>
    <col width="36.453125" customWidth="1" style="662" min="4611" max="4611"/>
    <col width="9.1796875" customWidth="1" style="662" min="4612" max="4612"/>
    <col width="29.81640625" customWidth="1" style="662" min="4613" max="4613"/>
    <col width="9.1796875" customWidth="1" style="662" min="4614" max="4614"/>
    <col width="40.1796875" customWidth="1" style="662" min="4615" max="4615"/>
    <col width="9.1796875" customWidth="1" style="662" min="4616" max="4864"/>
    <col width="37.7265625" customWidth="1" style="662" min="4865" max="4865"/>
    <col width="27.81640625" customWidth="1" style="662" min="4866" max="4866"/>
    <col width="36.453125" customWidth="1" style="662" min="4867" max="4867"/>
    <col width="9.1796875" customWidth="1" style="662" min="4868" max="4868"/>
    <col width="29.81640625" customWidth="1" style="662" min="4869" max="4869"/>
    <col width="9.1796875" customWidth="1" style="662" min="4870" max="4870"/>
    <col width="40.1796875" customWidth="1" style="662" min="4871" max="4871"/>
    <col width="9.1796875" customWidth="1" style="662" min="4872" max="5120"/>
    <col width="37.7265625" customWidth="1" style="662" min="5121" max="5121"/>
    <col width="27.81640625" customWidth="1" style="662" min="5122" max="5122"/>
    <col width="36.453125" customWidth="1" style="662" min="5123" max="5123"/>
    <col width="9.1796875" customWidth="1" style="662" min="5124" max="5124"/>
    <col width="29.81640625" customWidth="1" style="662" min="5125" max="5125"/>
    <col width="9.1796875" customWidth="1" style="662" min="5126" max="5126"/>
    <col width="40.1796875" customWidth="1" style="662" min="5127" max="5127"/>
    <col width="9.1796875" customWidth="1" style="662" min="5128" max="5376"/>
    <col width="37.7265625" customWidth="1" style="662" min="5377" max="5377"/>
    <col width="27.81640625" customWidth="1" style="662" min="5378" max="5378"/>
    <col width="36.453125" customWidth="1" style="662" min="5379" max="5379"/>
    <col width="9.1796875" customWidth="1" style="662" min="5380" max="5380"/>
    <col width="29.81640625" customWidth="1" style="662" min="5381" max="5381"/>
    <col width="9.1796875" customWidth="1" style="662" min="5382" max="5382"/>
    <col width="40.1796875" customWidth="1" style="662" min="5383" max="5383"/>
    <col width="9.1796875" customWidth="1" style="662" min="5384" max="5632"/>
    <col width="37.7265625" customWidth="1" style="662" min="5633" max="5633"/>
    <col width="27.81640625" customWidth="1" style="662" min="5634" max="5634"/>
    <col width="36.453125" customWidth="1" style="662" min="5635" max="5635"/>
    <col width="9.1796875" customWidth="1" style="662" min="5636" max="5636"/>
    <col width="29.81640625" customWidth="1" style="662" min="5637" max="5637"/>
    <col width="9.1796875" customWidth="1" style="662" min="5638" max="5638"/>
    <col width="40.1796875" customWidth="1" style="662" min="5639" max="5639"/>
    <col width="9.1796875" customWidth="1" style="662" min="5640" max="5888"/>
    <col width="37.7265625" customWidth="1" style="662" min="5889" max="5889"/>
    <col width="27.81640625" customWidth="1" style="662" min="5890" max="5890"/>
    <col width="36.453125" customWidth="1" style="662" min="5891" max="5891"/>
    <col width="9.1796875" customWidth="1" style="662" min="5892" max="5892"/>
    <col width="29.81640625" customWidth="1" style="662" min="5893" max="5893"/>
    <col width="9.1796875" customWidth="1" style="662" min="5894" max="5894"/>
    <col width="40.1796875" customWidth="1" style="662" min="5895" max="5895"/>
    <col width="9.1796875" customWidth="1" style="662" min="5896" max="6144"/>
    <col width="37.7265625" customWidth="1" style="662" min="6145" max="6145"/>
    <col width="27.81640625" customWidth="1" style="662" min="6146" max="6146"/>
    <col width="36.453125" customWidth="1" style="662" min="6147" max="6147"/>
    <col width="9.1796875" customWidth="1" style="662" min="6148" max="6148"/>
    <col width="29.81640625" customWidth="1" style="662" min="6149" max="6149"/>
    <col width="9.1796875" customWidth="1" style="662" min="6150" max="6150"/>
    <col width="40.1796875" customWidth="1" style="662" min="6151" max="6151"/>
    <col width="9.1796875" customWidth="1" style="662" min="6152" max="6400"/>
    <col width="37.7265625" customWidth="1" style="662" min="6401" max="6401"/>
    <col width="27.81640625" customWidth="1" style="662" min="6402" max="6402"/>
    <col width="36.453125" customWidth="1" style="662" min="6403" max="6403"/>
    <col width="9.1796875" customWidth="1" style="662" min="6404" max="6404"/>
    <col width="29.81640625" customWidth="1" style="662" min="6405" max="6405"/>
    <col width="9.1796875" customWidth="1" style="662" min="6406" max="6406"/>
    <col width="40.1796875" customWidth="1" style="662" min="6407" max="6407"/>
    <col width="9.1796875" customWidth="1" style="662" min="6408" max="6656"/>
    <col width="37.7265625" customWidth="1" style="662" min="6657" max="6657"/>
    <col width="27.81640625" customWidth="1" style="662" min="6658" max="6658"/>
    <col width="36.453125" customWidth="1" style="662" min="6659" max="6659"/>
    <col width="9.1796875" customWidth="1" style="662" min="6660" max="6660"/>
    <col width="29.81640625" customWidth="1" style="662" min="6661" max="6661"/>
    <col width="9.1796875" customWidth="1" style="662" min="6662" max="6662"/>
    <col width="40.1796875" customWidth="1" style="662" min="6663" max="6663"/>
    <col width="9.1796875" customWidth="1" style="662" min="6664" max="6912"/>
    <col width="37.7265625" customWidth="1" style="662" min="6913" max="6913"/>
    <col width="27.81640625" customWidth="1" style="662" min="6914" max="6914"/>
    <col width="36.453125" customWidth="1" style="662" min="6915" max="6915"/>
    <col width="9.1796875" customWidth="1" style="662" min="6916" max="6916"/>
    <col width="29.81640625" customWidth="1" style="662" min="6917" max="6917"/>
    <col width="9.1796875" customWidth="1" style="662" min="6918" max="6918"/>
    <col width="40.1796875" customWidth="1" style="662" min="6919" max="6919"/>
    <col width="9.1796875" customWidth="1" style="662" min="6920" max="7168"/>
    <col width="37.7265625" customWidth="1" style="662" min="7169" max="7169"/>
    <col width="27.81640625" customWidth="1" style="662" min="7170" max="7170"/>
    <col width="36.453125" customWidth="1" style="662" min="7171" max="7171"/>
    <col width="9.1796875" customWidth="1" style="662" min="7172" max="7172"/>
    <col width="29.81640625" customWidth="1" style="662" min="7173" max="7173"/>
    <col width="9.1796875" customWidth="1" style="662" min="7174" max="7174"/>
    <col width="40.1796875" customWidth="1" style="662" min="7175" max="7175"/>
    <col width="9.1796875" customWidth="1" style="662" min="7176" max="7424"/>
    <col width="37.7265625" customWidth="1" style="662" min="7425" max="7425"/>
    <col width="27.81640625" customWidth="1" style="662" min="7426" max="7426"/>
    <col width="36.453125" customWidth="1" style="662" min="7427" max="7427"/>
    <col width="9.1796875" customWidth="1" style="662" min="7428" max="7428"/>
    <col width="29.81640625" customWidth="1" style="662" min="7429" max="7429"/>
    <col width="9.1796875" customWidth="1" style="662" min="7430" max="7430"/>
    <col width="40.1796875" customWidth="1" style="662" min="7431" max="7431"/>
    <col width="9.1796875" customWidth="1" style="662" min="7432" max="7680"/>
    <col width="37.7265625" customWidth="1" style="662" min="7681" max="7681"/>
    <col width="27.81640625" customWidth="1" style="662" min="7682" max="7682"/>
    <col width="36.453125" customWidth="1" style="662" min="7683" max="7683"/>
    <col width="9.1796875" customWidth="1" style="662" min="7684" max="7684"/>
    <col width="29.81640625" customWidth="1" style="662" min="7685" max="7685"/>
    <col width="9.1796875" customWidth="1" style="662" min="7686" max="7686"/>
    <col width="40.1796875" customWidth="1" style="662" min="7687" max="7687"/>
    <col width="9.1796875" customWidth="1" style="662" min="7688" max="7936"/>
    <col width="37.7265625" customWidth="1" style="662" min="7937" max="7937"/>
    <col width="27.81640625" customWidth="1" style="662" min="7938" max="7938"/>
    <col width="36.453125" customWidth="1" style="662" min="7939" max="7939"/>
    <col width="9.1796875" customWidth="1" style="662" min="7940" max="7940"/>
    <col width="29.81640625" customWidth="1" style="662" min="7941" max="7941"/>
    <col width="9.1796875" customWidth="1" style="662" min="7942" max="7942"/>
    <col width="40.1796875" customWidth="1" style="662" min="7943" max="7943"/>
    <col width="9.1796875" customWidth="1" style="662" min="7944" max="8192"/>
    <col width="37.7265625" customWidth="1" style="662" min="8193" max="8193"/>
    <col width="27.81640625" customWidth="1" style="662" min="8194" max="8194"/>
    <col width="36.453125" customWidth="1" style="662" min="8195" max="8195"/>
    <col width="9.1796875" customWidth="1" style="662" min="8196" max="8196"/>
    <col width="29.81640625" customWidth="1" style="662" min="8197" max="8197"/>
    <col width="9.1796875" customWidth="1" style="662" min="8198" max="8198"/>
    <col width="40.1796875" customWidth="1" style="662" min="8199" max="8199"/>
    <col width="9.1796875" customWidth="1" style="662" min="8200" max="8448"/>
    <col width="37.7265625" customWidth="1" style="662" min="8449" max="8449"/>
    <col width="27.81640625" customWidth="1" style="662" min="8450" max="8450"/>
    <col width="36.453125" customWidth="1" style="662" min="8451" max="8451"/>
    <col width="9.1796875" customWidth="1" style="662" min="8452" max="8452"/>
    <col width="29.81640625" customWidth="1" style="662" min="8453" max="8453"/>
    <col width="9.1796875" customWidth="1" style="662" min="8454" max="8454"/>
    <col width="40.1796875" customWidth="1" style="662" min="8455" max="8455"/>
    <col width="9.1796875" customWidth="1" style="662" min="8456" max="8704"/>
    <col width="37.7265625" customWidth="1" style="662" min="8705" max="8705"/>
    <col width="27.81640625" customWidth="1" style="662" min="8706" max="8706"/>
    <col width="36.453125" customWidth="1" style="662" min="8707" max="8707"/>
    <col width="9.1796875" customWidth="1" style="662" min="8708" max="8708"/>
    <col width="29.81640625" customWidth="1" style="662" min="8709" max="8709"/>
    <col width="9.1796875" customWidth="1" style="662" min="8710" max="8710"/>
    <col width="40.1796875" customWidth="1" style="662" min="8711" max="8711"/>
    <col width="9.1796875" customWidth="1" style="662" min="8712" max="8960"/>
    <col width="37.7265625" customWidth="1" style="662" min="8961" max="8961"/>
    <col width="27.81640625" customWidth="1" style="662" min="8962" max="8962"/>
    <col width="36.453125" customWidth="1" style="662" min="8963" max="8963"/>
    <col width="9.1796875" customWidth="1" style="662" min="8964" max="8964"/>
    <col width="29.81640625" customWidth="1" style="662" min="8965" max="8965"/>
    <col width="9.1796875" customWidth="1" style="662" min="8966" max="8966"/>
    <col width="40.1796875" customWidth="1" style="662" min="8967" max="8967"/>
    <col width="9.1796875" customWidth="1" style="662" min="8968" max="9216"/>
    <col width="37.7265625" customWidth="1" style="662" min="9217" max="9217"/>
    <col width="27.81640625" customWidth="1" style="662" min="9218" max="9218"/>
    <col width="36.453125" customWidth="1" style="662" min="9219" max="9219"/>
    <col width="9.1796875" customWidth="1" style="662" min="9220" max="9220"/>
    <col width="29.81640625" customWidth="1" style="662" min="9221" max="9221"/>
    <col width="9.1796875" customWidth="1" style="662" min="9222" max="9222"/>
    <col width="40.1796875" customWidth="1" style="662" min="9223" max="9223"/>
    <col width="9.1796875" customWidth="1" style="662" min="9224" max="9472"/>
    <col width="37.7265625" customWidth="1" style="662" min="9473" max="9473"/>
    <col width="27.81640625" customWidth="1" style="662" min="9474" max="9474"/>
    <col width="36.453125" customWidth="1" style="662" min="9475" max="9475"/>
    <col width="9.1796875" customWidth="1" style="662" min="9476" max="9476"/>
    <col width="29.81640625" customWidth="1" style="662" min="9477" max="9477"/>
    <col width="9.1796875" customWidth="1" style="662" min="9478" max="9478"/>
    <col width="40.1796875" customWidth="1" style="662" min="9479" max="9479"/>
    <col width="9.1796875" customWidth="1" style="662" min="9480" max="9728"/>
    <col width="37.7265625" customWidth="1" style="662" min="9729" max="9729"/>
    <col width="27.81640625" customWidth="1" style="662" min="9730" max="9730"/>
    <col width="36.453125" customWidth="1" style="662" min="9731" max="9731"/>
    <col width="9.1796875" customWidth="1" style="662" min="9732" max="9732"/>
    <col width="29.81640625" customWidth="1" style="662" min="9733" max="9733"/>
    <col width="9.1796875" customWidth="1" style="662" min="9734" max="9734"/>
    <col width="40.1796875" customWidth="1" style="662" min="9735" max="9735"/>
    <col width="9.1796875" customWidth="1" style="662" min="9736" max="9984"/>
    <col width="37.7265625" customWidth="1" style="662" min="9985" max="9985"/>
    <col width="27.81640625" customWidth="1" style="662" min="9986" max="9986"/>
    <col width="36.453125" customWidth="1" style="662" min="9987" max="9987"/>
    <col width="9.1796875" customWidth="1" style="662" min="9988" max="9988"/>
    <col width="29.81640625" customWidth="1" style="662" min="9989" max="9989"/>
    <col width="9.1796875" customWidth="1" style="662" min="9990" max="9990"/>
    <col width="40.1796875" customWidth="1" style="662" min="9991" max="9991"/>
    <col width="9.1796875" customWidth="1" style="662" min="9992" max="10240"/>
    <col width="37.7265625" customWidth="1" style="662" min="10241" max="10241"/>
    <col width="27.81640625" customWidth="1" style="662" min="10242" max="10242"/>
    <col width="36.453125" customWidth="1" style="662" min="10243" max="10243"/>
    <col width="9.1796875" customWidth="1" style="662" min="10244" max="10244"/>
    <col width="29.81640625" customWidth="1" style="662" min="10245" max="10245"/>
    <col width="9.1796875" customWidth="1" style="662" min="10246" max="10246"/>
    <col width="40.1796875" customWidth="1" style="662" min="10247" max="10247"/>
    <col width="9.1796875" customWidth="1" style="662" min="10248" max="10496"/>
    <col width="37.7265625" customWidth="1" style="662" min="10497" max="10497"/>
    <col width="27.81640625" customWidth="1" style="662" min="10498" max="10498"/>
    <col width="36.453125" customWidth="1" style="662" min="10499" max="10499"/>
    <col width="9.1796875" customWidth="1" style="662" min="10500" max="10500"/>
    <col width="29.81640625" customWidth="1" style="662" min="10501" max="10501"/>
    <col width="9.1796875" customWidth="1" style="662" min="10502" max="10502"/>
    <col width="40.1796875" customWidth="1" style="662" min="10503" max="10503"/>
    <col width="9.1796875" customWidth="1" style="662" min="10504" max="10752"/>
    <col width="37.7265625" customWidth="1" style="662" min="10753" max="10753"/>
    <col width="27.81640625" customWidth="1" style="662" min="10754" max="10754"/>
    <col width="36.453125" customWidth="1" style="662" min="10755" max="10755"/>
    <col width="9.1796875" customWidth="1" style="662" min="10756" max="10756"/>
    <col width="29.81640625" customWidth="1" style="662" min="10757" max="10757"/>
    <col width="9.1796875" customWidth="1" style="662" min="10758" max="10758"/>
    <col width="40.1796875" customWidth="1" style="662" min="10759" max="10759"/>
    <col width="9.1796875" customWidth="1" style="662" min="10760" max="11008"/>
    <col width="37.7265625" customWidth="1" style="662" min="11009" max="11009"/>
    <col width="27.81640625" customWidth="1" style="662" min="11010" max="11010"/>
    <col width="36.453125" customWidth="1" style="662" min="11011" max="11011"/>
    <col width="9.1796875" customWidth="1" style="662" min="11012" max="11012"/>
    <col width="29.81640625" customWidth="1" style="662" min="11013" max="11013"/>
    <col width="9.1796875" customWidth="1" style="662" min="11014" max="11014"/>
    <col width="40.1796875" customWidth="1" style="662" min="11015" max="11015"/>
    <col width="9.1796875" customWidth="1" style="662" min="11016" max="11264"/>
    <col width="37.7265625" customWidth="1" style="662" min="11265" max="11265"/>
    <col width="27.81640625" customWidth="1" style="662" min="11266" max="11266"/>
    <col width="36.453125" customWidth="1" style="662" min="11267" max="11267"/>
    <col width="9.1796875" customWidth="1" style="662" min="11268" max="11268"/>
    <col width="29.81640625" customWidth="1" style="662" min="11269" max="11269"/>
    <col width="9.1796875" customWidth="1" style="662" min="11270" max="11270"/>
    <col width="40.1796875" customWidth="1" style="662" min="11271" max="11271"/>
    <col width="9.1796875" customWidth="1" style="662" min="11272" max="11520"/>
    <col width="37.7265625" customWidth="1" style="662" min="11521" max="11521"/>
    <col width="27.81640625" customWidth="1" style="662" min="11522" max="11522"/>
    <col width="36.453125" customWidth="1" style="662" min="11523" max="11523"/>
    <col width="9.1796875" customWidth="1" style="662" min="11524" max="11524"/>
    <col width="29.81640625" customWidth="1" style="662" min="11525" max="11525"/>
    <col width="9.1796875" customWidth="1" style="662" min="11526" max="11526"/>
    <col width="40.1796875" customWidth="1" style="662" min="11527" max="11527"/>
    <col width="9.1796875" customWidth="1" style="662" min="11528" max="11776"/>
    <col width="37.7265625" customWidth="1" style="662" min="11777" max="11777"/>
    <col width="27.81640625" customWidth="1" style="662" min="11778" max="11778"/>
    <col width="36.453125" customWidth="1" style="662" min="11779" max="11779"/>
    <col width="9.1796875" customWidth="1" style="662" min="11780" max="11780"/>
    <col width="29.81640625" customWidth="1" style="662" min="11781" max="11781"/>
    <col width="9.1796875" customWidth="1" style="662" min="11782" max="11782"/>
    <col width="40.1796875" customWidth="1" style="662" min="11783" max="11783"/>
    <col width="9.1796875" customWidth="1" style="662" min="11784" max="12032"/>
    <col width="37.7265625" customWidth="1" style="662" min="12033" max="12033"/>
    <col width="27.81640625" customWidth="1" style="662" min="12034" max="12034"/>
    <col width="36.453125" customWidth="1" style="662" min="12035" max="12035"/>
    <col width="9.1796875" customWidth="1" style="662" min="12036" max="12036"/>
    <col width="29.81640625" customWidth="1" style="662" min="12037" max="12037"/>
    <col width="9.1796875" customWidth="1" style="662" min="12038" max="12038"/>
    <col width="40.1796875" customWidth="1" style="662" min="12039" max="12039"/>
    <col width="9.1796875" customWidth="1" style="662" min="12040" max="12288"/>
    <col width="37.7265625" customWidth="1" style="662" min="12289" max="12289"/>
    <col width="27.81640625" customWidth="1" style="662" min="12290" max="12290"/>
    <col width="36.453125" customWidth="1" style="662" min="12291" max="12291"/>
    <col width="9.1796875" customWidth="1" style="662" min="12292" max="12292"/>
    <col width="29.81640625" customWidth="1" style="662" min="12293" max="12293"/>
    <col width="9.1796875" customWidth="1" style="662" min="12294" max="12294"/>
    <col width="40.1796875" customWidth="1" style="662" min="12295" max="12295"/>
    <col width="9.1796875" customWidth="1" style="662" min="12296" max="12544"/>
    <col width="37.7265625" customWidth="1" style="662" min="12545" max="12545"/>
    <col width="27.81640625" customWidth="1" style="662" min="12546" max="12546"/>
    <col width="36.453125" customWidth="1" style="662" min="12547" max="12547"/>
    <col width="9.1796875" customWidth="1" style="662" min="12548" max="12548"/>
    <col width="29.81640625" customWidth="1" style="662" min="12549" max="12549"/>
    <col width="9.1796875" customWidth="1" style="662" min="12550" max="12550"/>
    <col width="40.1796875" customWidth="1" style="662" min="12551" max="12551"/>
    <col width="9.1796875" customWidth="1" style="662" min="12552" max="12800"/>
    <col width="37.7265625" customWidth="1" style="662" min="12801" max="12801"/>
    <col width="27.81640625" customWidth="1" style="662" min="12802" max="12802"/>
    <col width="36.453125" customWidth="1" style="662" min="12803" max="12803"/>
    <col width="9.1796875" customWidth="1" style="662" min="12804" max="12804"/>
    <col width="29.81640625" customWidth="1" style="662" min="12805" max="12805"/>
    <col width="9.1796875" customWidth="1" style="662" min="12806" max="12806"/>
    <col width="40.1796875" customWidth="1" style="662" min="12807" max="12807"/>
    <col width="9.1796875" customWidth="1" style="662" min="12808" max="13056"/>
    <col width="37.7265625" customWidth="1" style="662" min="13057" max="13057"/>
    <col width="27.81640625" customWidth="1" style="662" min="13058" max="13058"/>
    <col width="36.453125" customWidth="1" style="662" min="13059" max="13059"/>
    <col width="9.1796875" customWidth="1" style="662" min="13060" max="13060"/>
    <col width="29.81640625" customWidth="1" style="662" min="13061" max="13061"/>
    <col width="9.1796875" customWidth="1" style="662" min="13062" max="13062"/>
    <col width="40.1796875" customWidth="1" style="662" min="13063" max="13063"/>
    <col width="9.1796875" customWidth="1" style="662" min="13064" max="13312"/>
    <col width="37.7265625" customWidth="1" style="662" min="13313" max="13313"/>
    <col width="27.81640625" customWidth="1" style="662" min="13314" max="13314"/>
    <col width="36.453125" customWidth="1" style="662" min="13315" max="13315"/>
    <col width="9.1796875" customWidth="1" style="662" min="13316" max="13316"/>
    <col width="29.81640625" customWidth="1" style="662" min="13317" max="13317"/>
    <col width="9.1796875" customWidth="1" style="662" min="13318" max="13318"/>
    <col width="40.1796875" customWidth="1" style="662" min="13319" max="13319"/>
    <col width="9.1796875" customWidth="1" style="662" min="13320" max="13568"/>
    <col width="37.7265625" customWidth="1" style="662" min="13569" max="13569"/>
    <col width="27.81640625" customWidth="1" style="662" min="13570" max="13570"/>
    <col width="36.453125" customWidth="1" style="662" min="13571" max="13571"/>
    <col width="9.1796875" customWidth="1" style="662" min="13572" max="13572"/>
    <col width="29.81640625" customWidth="1" style="662" min="13573" max="13573"/>
    <col width="9.1796875" customWidth="1" style="662" min="13574" max="13574"/>
    <col width="40.1796875" customWidth="1" style="662" min="13575" max="13575"/>
    <col width="9.1796875" customWidth="1" style="662" min="13576" max="13824"/>
    <col width="37.7265625" customWidth="1" style="662" min="13825" max="13825"/>
    <col width="27.81640625" customWidth="1" style="662" min="13826" max="13826"/>
    <col width="36.453125" customWidth="1" style="662" min="13827" max="13827"/>
    <col width="9.1796875" customWidth="1" style="662" min="13828" max="13828"/>
    <col width="29.81640625" customWidth="1" style="662" min="13829" max="13829"/>
    <col width="9.1796875" customWidth="1" style="662" min="13830" max="13830"/>
    <col width="40.1796875" customWidth="1" style="662" min="13831" max="13831"/>
    <col width="9.1796875" customWidth="1" style="662" min="13832" max="14080"/>
    <col width="37.7265625" customWidth="1" style="662" min="14081" max="14081"/>
    <col width="27.81640625" customWidth="1" style="662" min="14082" max="14082"/>
    <col width="36.453125" customWidth="1" style="662" min="14083" max="14083"/>
    <col width="9.1796875" customWidth="1" style="662" min="14084" max="14084"/>
    <col width="29.81640625" customWidth="1" style="662" min="14085" max="14085"/>
    <col width="9.1796875" customWidth="1" style="662" min="14086" max="14086"/>
    <col width="40.1796875" customWidth="1" style="662" min="14087" max="14087"/>
    <col width="9.1796875" customWidth="1" style="662" min="14088" max="14336"/>
    <col width="37.7265625" customWidth="1" style="662" min="14337" max="14337"/>
    <col width="27.81640625" customWidth="1" style="662" min="14338" max="14338"/>
    <col width="36.453125" customWidth="1" style="662" min="14339" max="14339"/>
    <col width="9.1796875" customWidth="1" style="662" min="14340" max="14340"/>
    <col width="29.81640625" customWidth="1" style="662" min="14341" max="14341"/>
    <col width="9.1796875" customWidth="1" style="662" min="14342" max="14342"/>
    <col width="40.1796875" customWidth="1" style="662" min="14343" max="14343"/>
    <col width="9.1796875" customWidth="1" style="662" min="14344" max="14592"/>
    <col width="37.7265625" customWidth="1" style="662" min="14593" max="14593"/>
    <col width="27.81640625" customWidth="1" style="662" min="14594" max="14594"/>
    <col width="36.453125" customWidth="1" style="662" min="14595" max="14595"/>
    <col width="9.1796875" customWidth="1" style="662" min="14596" max="14596"/>
    <col width="29.81640625" customWidth="1" style="662" min="14597" max="14597"/>
    <col width="9.1796875" customWidth="1" style="662" min="14598" max="14598"/>
    <col width="40.1796875" customWidth="1" style="662" min="14599" max="14599"/>
    <col width="9.1796875" customWidth="1" style="662" min="14600" max="14848"/>
    <col width="37.7265625" customWidth="1" style="662" min="14849" max="14849"/>
    <col width="27.81640625" customWidth="1" style="662" min="14850" max="14850"/>
    <col width="36.453125" customWidth="1" style="662" min="14851" max="14851"/>
    <col width="9.1796875" customWidth="1" style="662" min="14852" max="14852"/>
    <col width="29.81640625" customWidth="1" style="662" min="14853" max="14853"/>
    <col width="9.1796875" customWidth="1" style="662" min="14854" max="14854"/>
    <col width="40.1796875" customWidth="1" style="662" min="14855" max="14855"/>
    <col width="9.1796875" customWidth="1" style="662" min="14856" max="15104"/>
    <col width="37.7265625" customWidth="1" style="662" min="15105" max="15105"/>
    <col width="27.81640625" customWidth="1" style="662" min="15106" max="15106"/>
    <col width="36.453125" customWidth="1" style="662" min="15107" max="15107"/>
    <col width="9.1796875" customWidth="1" style="662" min="15108" max="15108"/>
    <col width="29.81640625" customWidth="1" style="662" min="15109" max="15109"/>
    <col width="9.1796875" customWidth="1" style="662" min="15110" max="15110"/>
    <col width="40.1796875" customWidth="1" style="662" min="15111" max="15111"/>
    <col width="9.1796875" customWidth="1" style="662" min="15112" max="15360"/>
    <col width="37.7265625" customWidth="1" style="662" min="15361" max="15361"/>
    <col width="27.81640625" customWidth="1" style="662" min="15362" max="15362"/>
    <col width="36.453125" customWidth="1" style="662" min="15363" max="15363"/>
    <col width="9.1796875" customWidth="1" style="662" min="15364" max="15364"/>
    <col width="29.81640625" customWidth="1" style="662" min="15365" max="15365"/>
    <col width="9.1796875" customWidth="1" style="662" min="15366" max="15366"/>
    <col width="40.1796875" customWidth="1" style="662" min="15367" max="15367"/>
    <col width="9.1796875" customWidth="1" style="662" min="15368" max="15616"/>
    <col width="37.7265625" customWidth="1" style="662" min="15617" max="15617"/>
    <col width="27.81640625" customWidth="1" style="662" min="15618" max="15618"/>
    <col width="36.453125" customWidth="1" style="662" min="15619" max="15619"/>
    <col width="9.1796875" customWidth="1" style="662" min="15620" max="15620"/>
    <col width="29.81640625" customWidth="1" style="662" min="15621" max="15621"/>
    <col width="9.1796875" customWidth="1" style="662" min="15622" max="15622"/>
    <col width="40.1796875" customWidth="1" style="662" min="15623" max="15623"/>
    <col width="9.1796875" customWidth="1" style="662" min="15624" max="15872"/>
    <col width="37.7265625" customWidth="1" style="662" min="15873" max="15873"/>
    <col width="27.81640625" customWidth="1" style="662" min="15874" max="15874"/>
    <col width="36.453125" customWidth="1" style="662" min="15875" max="15875"/>
    <col width="9.1796875" customWidth="1" style="662" min="15876" max="15876"/>
    <col width="29.81640625" customWidth="1" style="662" min="15877" max="15877"/>
    <col width="9.1796875" customWidth="1" style="662" min="15878" max="15878"/>
    <col width="40.1796875" customWidth="1" style="662" min="15879" max="15879"/>
    <col width="9.1796875" customWidth="1" style="662" min="15880" max="16128"/>
    <col width="37.7265625" customWidth="1" style="662" min="16129" max="16129"/>
    <col width="27.81640625" customWidth="1" style="662" min="16130" max="16130"/>
    <col width="36.453125" customWidth="1" style="662" min="16131" max="16131"/>
    <col width="9.1796875" customWidth="1" style="662" min="16132" max="16132"/>
    <col width="29.81640625" customWidth="1" style="662" min="16133" max="16133"/>
    <col width="9.1796875" customWidth="1" style="662" min="16134" max="16134"/>
    <col width="40.1796875" customWidth="1" style="662" min="16135" max="16135"/>
    <col width="9.1796875" customWidth="1" style="662" min="16136" max="16384"/>
  </cols>
  <sheetData>
    <row r="1" ht="24" customHeight="1">
      <c r="A1" s="692" t="inlineStr">
        <is>
          <t>MPCI</t>
        </is>
      </c>
      <c r="B1" s="693" t="inlineStr">
        <is>
          <t>LOT ASSIGNMENT SHEET</t>
        </is>
      </c>
      <c r="C1" s="857" t="n"/>
      <c r="D1" s="695" t="inlineStr">
        <is>
          <t>DOC:     FRM-118</t>
        </is>
      </c>
      <c r="E1" s="694" t="inlineStr">
        <is>
          <t>ISSUE DATE:   10/1/12</t>
        </is>
      </c>
      <c r="F1" s="857" t="n"/>
      <c r="G1" s="694" t="inlineStr">
        <is>
          <t>REV: 004</t>
        </is>
      </c>
      <c r="I1" s="248" t="n"/>
      <c r="K1" s="179" t="n"/>
    </row>
    <row r="2" ht="27.4" customHeight="1">
      <c r="A2" s="846" t="n"/>
      <c r="B2" s="695" t="inlineStr">
        <is>
          <t>FORM REVIEWED BY: Quality Coordinator</t>
        </is>
      </c>
      <c r="C2" s="857" t="n"/>
      <c r="D2" s="695" t="inlineStr">
        <is>
          <t>FORM APPROVED BY:   Production Planner and Site Manager</t>
        </is>
      </c>
      <c r="E2" s="857" t="n"/>
      <c r="F2" s="695" t="inlineStr">
        <is>
          <t>Reference:  AP-01 Production Planning and Authorization</t>
        </is>
      </c>
      <c r="G2" s="857" t="n"/>
      <c r="H2" s="179" t="n"/>
      <c r="I2" s="179" t="n"/>
      <c r="J2" s="179" t="n"/>
      <c r="K2" s="179" t="n"/>
    </row>
    <row r="3" ht="6" customHeight="1" thickBot="1">
      <c r="A3" s="249" t="n"/>
      <c r="B3" s="250" t="n"/>
      <c r="C3" s="250" t="n"/>
      <c r="D3" s="251" t="n"/>
      <c r="E3" s="251" t="n"/>
      <c r="F3" s="251" t="n"/>
      <c r="G3" s="179" t="n"/>
      <c r="H3" s="179" t="n"/>
      <c r="I3" s="179" t="n"/>
      <c r="J3" s="179" t="n"/>
      <c r="K3" s="179" t="n"/>
    </row>
    <row r="4" ht="23.5" customHeight="1" thickBot="1">
      <c r="A4" s="252" t="inlineStr">
        <is>
          <t>Lot assignments for campaign</t>
        </is>
      </c>
      <c r="B4" s="253" t="n"/>
      <c r="C4" s="253" t="n"/>
      <c r="D4" s="253" t="n"/>
      <c r="E4" s="253" t="n"/>
      <c r="F4" s="253" t="n"/>
      <c r="G4" s="254" t="n"/>
    </row>
    <row r="5" ht="28.5" customHeight="1" thickBot="1">
      <c r="A5" s="522">
        <f>IF(GradeColor&lt;&gt;0,GradeColor,"")</f>
        <v/>
      </c>
      <c r="B5" s="523" t="n"/>
      <c r="C5" s="523" t="n"/>
      <c r="D5" s="523" t="n"/>
      <c r="E5" s="523" t="n"/>
      <c r="F5" s="523" t="n"/>
      <c r="G5" s="524" t="n"/>
    </row>
    <row r="6" ht="28" customHeight="1">
      <c r="A6" s="255" t="inlineStr">
        <is>
          <t>Master lot scheduled on line:</t>
        </is>
      </c>
      <c r="B6" s="256" t="n"/>
      <c r="C6" s="256">
        <f>IF(ProductionLineNumber&lt;&gt;0,ProductionLineNumber,"")</f>
        <v/>
      </c>
      <c r="D6" s="519">
        <f>IF(LotOrCampaignNumber&lt;&gt;0,LotOrCampaignNumber,"")</f>
        <v/>
      </c>
      <c r="E6" s="520" t="n"/>
      <c r="F6" s="520" t="n"/>
      <c r="G6" s="521" t="n"/>
    </row>
    <row r="7" ht="27.75" customHeight="1">
      <c r="A7" s="696" t="inlineStr">
        <is>
          <t>Lot # assignment</t>
        </is>
      </c>
      <c r="B7" s="696" t="inlineStr">
        <is>
          <t>LBS Scheduled</t>
        </is>
      </c>
      <c r="C7" s="517" t="inlineStr">
        <is>
          <t>R/C Assigned</t>
        </is>
      </c>
      <c r="D7" s="696" t="inlineStr">
        <is>
          <t>Grade Code</t>
        </is>
      </c>
      <c r="E7" s="857" t="n"/>
      <c r="F7" s="696" t="inlineStr">
        <is>
          <t>Deviation #</t>
        </is>
      </c>
      <c r="G7" s="857" t="n"/>
    </row>
    <row r="8" ht="35.15" customHeight="1">
      <c r="A8" s="257">
        <f>IF(SubLotn01&lt;&gt;0,SubLotn01,"")</f>
        <v/>
      </c>
      <c r="B8" s="257">
        <f>IF(SubSize01&lt;&gt;0,SubSize01,"")</f>
        <v/>
      </c>
      <c r="C8" s="257">
        <f>IF(SubRCar01&lt;&gt;0,SubRCar01,"")</f>
        <v/>
      </c>
      <c r="D8" s="257">
        <f>IF(SubGCode01&lt;&gt;0,SubGCode01,"")</f>
        <v/>
      </c>
      <c r="E8" s="857" t="n"/>
      <c r="F8" s="257">
        <f>IF(SubDEVN01&lt;&gt;0,SubDEVN01,"")</f>
        <v/>
      </c>
      <c r="G8" s="857" t="n"/>
    </row>
    <row r="9" ht="35.15" customHeight="1">
      <c r="A9" s="257">
        <f>IF(SubLotn02&lt;&gt;0,SubLotn02,"")</f>
        <v/>
      </c>
      <c r="B9" s="257">
        <f>IF(SubSize02&lt;&gt;0,SubSize02,"")</f>
        <v/>
      </c>
      <c r="C9" s="257">
        <f>IF(SubRCar02&lt;&gt;0,SubRCar02,"")</f>
        <v/>
      </c>
      <c r="D9" s="257">
        <f>IF(SubGCode02&lt;&gt;0,SubGCode02,"")</f>
        <v/>
      </c>
      <c r="E9" s="857" t="n"/>
      <c r="F9" s="257">
        <f>IF(SubDEVN02&lt;&gt;0,SubDEVN02,"")</f>
        <v/>
      </c>
      <c r="G9" s="857" t="n"/>
    </row>
    <row r="10" ht="35.15" customHeight="1">
      <c r="A10" s="257">
        <f>IF(SubLotn03&lt;&gt;0,SubLotn03,"")</f>
        <v/>
      </c>
      <c r="B10" s="257">
        <f>IF(SubSize03&lt;&gt;0,SubSize03,"")</f>
        <v/>
      </c>
      <c r="C10" s="257">
        <f>IF(SubRCar03&lt;&gt;0,SubRCar03,"")</f>
        <v/>
      </c>
      <c r="D10" s="257">
        <f>IF(SubGCode03&lt;&gt;0,SubGCode03,"")</f>
        <v/>
      </c>
      <c r="E10" s="857" t="n"/>
      <c r="F10" s="257">
        <f>IF(SubDEVN03&lt;&gt;0,SubDEVN03,"")</f>
        <v/>
      </c>
      <c r="G10" s="857" t="n"/>
    </row>
    <row r="11" ht="35.15" customHeight="1">
      <c r="A11" s="257">
        <f>IF(SubLotn04&lt;&gt;0,SubLotn04,"")</f>
        <v/>
      </c>
      <c r="B11" s="257">
        <f>IF(SubSize04&lt;&gt;0,SubSize04,"")</f>
        <v/>
      </c>
      <c r="C11" s="257">
        <f>IF(SubRCar04&lt;&gt;0,SubRCar04,"")</f>
        <v/>
      </c>
      <c r="D11" s="257">
        <f>IF(SubGCode04&lt;&gt;0,SubGCode04,"")</f>
        <v/>
      </c>
      <c r="E11" s="857" t="n"/>
      <c r="F11" s="257">
        <f>IF(SubDEVN04&lt;&gt;0,SubDEVN04,"")</f>
        <v/>
      </c>
      <c r="G11" s="857" t="n"/>
    </row>
    <row r="12" ht="35.15" customHeight="1">
      <c r="A12" s="257">
        <f>IF(SubLotn05&lt;&gt;0,SubLotn05,"")</f>
        <v/>
      </c>
      <c r="B12" s="257">
        <f>IF(SubSize05&lt;&gt;0,SubSize05,"")</f>
        <v/>
      </c>
      <c r="C12" s="257">
        <f>IF(SubRCar05&lt;&gt;0,SubRCar05,"")</f>
        <v/>
      </c>
      <c r="D12" s="257">
        <f>IF(SubGCode05&lt;&gt;0,SubGCode05,"")</f>
        <v/>
      </c>
      <c r="E12" s="857" t="n"/>
      <c r="F12" s="257">
        <f>IF(SubDEVN05&lt;&gt;0,SubDEVN05,"")</f>
        <v/>
      </c>
      <c r="G12" s="857" t="n"/>
    </row>
    <row r="13" ht="35.15" customHeight="1">
      <c r="A13" s="257">
        <f>IF(SubLotn06&lt;&gt;0,SubLotn06,"")</f>
        <v/>
      </c>
      <c r="B13" s="257">
        <f>IF(SubSize06&lt;&gt;0,SubSize06,"")</f>
        <v/>
      </c>
      <c r="C13" s="257">
        <f>IF(SubRCar06&lt;&gt;0,SubRCar06,"")</f>
        <v/>
      </c>
      <c r="D13" s="257">
        <f>IF(SubGCode06&lt;&gt;0,SubGCode06,"")</f>
        <v/>
      </c>
      <c r="E13" s="857" t="n"/>
      <c r="F13" s="257">
        <f>IF(SubDEVN06&lt;&gt;0,SubDEVN06,"")</f>
        <v/>
      </c>
      <c r="G13" s="857" t="n"/>
    </row>
    <row r="14" ht="35.15" customHeight="1">
      <c r="A14" s="257">
        <f>IF(SubLotn07&lt;&gt;0,SubLotn07,"")</f>
        <v/>
      </c>
      <c r="B14" s="257">
        <f>IF(SubSize07&lt;&gt;0,SubSize07,"")</f>
        <v/>
      </c>
      <c r="C14" s="257">
        <f>IF(SubRCar07&lt;&gt;0,SubRCar07,"")</f>
        <v/>
      </c>
      <c r="D14" s="257">
        <f>IF(SubGCode07&lt;&gt;0,SubGCode07,"")</f>
        <v/>
      </c>
      <c r="E14" s="857" t="n"/>
      <c r="F14" s="257">
        <f>IF(SubDEVN07&lt;&gt;0,SubDEVN07,"")</f>
        <v/>
      </c>
      <c r="G14" s="857" t="n"/>
    </row>
    <row r="15" ht="35.15" customHeight="1">
      <c r="A15" s="257">
        <f>IF(SubLotn08&lt;&gt;0,SubLotn08,"")</f>
        <v/>
      </c>
      <c r="B15" s="257">
        <f>IF(SubSize08&lt;&gt;0,SubSize08,"")</f>
        <v/>
      </c>
      <c r="C15" s="257">
        <f>IF(SubRCar08&lt;&gt;0,SubRCar08,"")</f>
        <v/>
      </c>
      <c r="D15" s="257">
        <f>IF(SubGCode08&lt;&gt;0,SubGCode08,"")</f>
        <v/>
      </c>
      <c r="E15" s="857" t="n"/>
      <c r="F15" s="257">
        <f>IF(SubDEVN08&lt;&gt;0,SubDEVN08,"")</f>
        <v/>
      </c>
      <c r="G15" s="857" t="n"/>
    </row>
    <row r="16" ht="35.15" customHeight="1">
      <c r="A16" s="257">
        <f>IF(SubLotn09&lt;&gt;0,SubLotn09,"")</f>
        <v/>
      </c>
      <c r="B16" s="257">
        <f>IF(SubSize09&lt;&gt;0,SubSize09,"")</f>
        <v/>
      </c>
      <c r="C16" s="257">
        <f>IF(SubRCar09&lt;&gt;0,SubRCar09,"")</f>
        <v/>
      </c>
      <c r="D16" s="257">
        <f>IF(SubGCode09&lt;&gt;0,SubGCode09,"")</f>
        <v/>
      </c>
      <c r="E16" s="857" t="n"/>
      <c r="F16" s="257">
        <f>IF(SubDEVN09&lt;&gt;0,SubDEVN09,"")</f>
        <v/>
      </c>
      <c r="G16" s="857" t="n"/>
    </row>
    <row r="17" ht="35.15" customHeight="1">
      <c r="A17" s="257">
        <f>IF(SubLotn10&lt;&gt;0,SubLotn10,"")</f>
        <v/>
      </c>
      <c r="B17" s="257">
        <f>IF(SubSize10&lt;&gt;0,SubSize10,"")</f>
        <v/>
      </c>
      <c r="C17" s="257">
        <f>IF(SubRCar10&lt;&gt;0,SubRCar10,"")</f>
        <v/>
      </c>
      <c r="D17" s="257">
        <f>IF(SubGCode10&lt;&gt;0,SubGCode10,"")</f>
        <v/>
      </c>
      <c r="E17" s="857" t="n"/>
      <c r="F17" s="257">
        <f>IF(SubDEVN10&lt;&gt;0,SubDEVN10,"")</f>
        <v/>
      </c>
      <c r="G17" s="857" t="n"/>
    </row>
    <row r="18" ht="35.15" customHeight="1">
      <c r="A18" s="257">
        <f>IF(SubLotn11&lt;&gt;0,SubLotn11,"")</f>
        <v/>
      </c>
      <c r="B18" s="257">
        <f>IF(SubSize11&lt;&gt;0,SubSize11,"")</f>
        <v/>
      </c>
      <c r="C18" s="257">
        <f>IF(SubRCar11&lt;&gt;0,SubRCar11,"")</f>
        <v/>
      </c>
      <c r="D18" s="257">
        <f>IF(SubGCode11&lt;&gt;0,SubGCode11,"")</f>
        <v/>
      </c>
      <c r="E18" s="857" t="n"/>
      <c r="F18" s="257">
        <f>IF(SubDEVN11&lt;&gt;0,SubDEVN11,"")</f>
        <v/>
      </c>
      <c r="G18" s="857" t="n"/>
    </row>
    <row r="19" ht="35.15" customHeight="1">
      <c r="A19" s="257">
        <f>IF(SubLotn12&lt;&gt;0,SubLotn12,"")</f>
        <v/>
      </c>
      <c r="B19" s="257">
        <f>IF(SubSize12&lt;&gt;0,SubSize12,"")</f>
        <v/>
      </c>
      <c r="C19" s="257">
        <f>IF(SubRCar12&lt;&gt;0,SubRCar12,"")</f>
        <v/>
      </c>
      <c r="D19" s="257">
        <f>IF(SubGCode12&lt;&gt;0,SubGCode12,"")</f>
        <v/>
      </c>
      <c r="E19" s="857" t="n"/>
      <c r="F19" s="257">
        <f>IF(SubDEVN12&lt;&gt;0,SubDEVN12,"")</f>
        <v/>
      </c>
      <c r="G19" s="857" t="n"/>
    </row>
    <row r="20" ht="35.15" customHeight="1">
      <c r="A20" s="257">
        <f>IF(SubLotn13&lt;&gt;0,SubLotn13,"")</f>
        <v/>
      </c>
      <c r="B20" s="257">
        <f>IF(SubSize13&lt;&gt;0,SubSize13,"")</f>
        <v/>
      </c>
      <c r="C20" s="257">
        <f>IF(SubRCar13&lt;&gt;0,SubRCar13,"")</f>
        <v/>
      </c>
      <c r="D20" s="257">
        <f>IF(SubGCode13&lt;&gt;0,SubGCode13,"")</f>
        <v/>
      </c>
      <c r="E20" s="857" t="n"/>
      <c r="F20" s="257">
        <f>IF(SubDEVN13&lt;&gt;0,SubDEVN13,"")</f>
        <v/>
      </c>
      <c r="G20" s="857" t="n"/>
    </row>
    <row r="21" ht="35.15" customHeight="1">
      <c r="A21" s="257">
        <f>IF(SubLotn14&lt;&gt;0,SubLotn14,"")</f>
        <v/>
      </c>
      <c r="B21" s="257">
        <f>IF(SubSize14&lt;&gt;0,SubSize14,"")</f>
        <v/>
      </c>
      <c r="C21" s="257">
        <f>IF(SubRCar14&lt;&gt;0,SubRCar14,"")</f>
        <v/>
      </c>
      <c r="D21" s="257">
        <f>IF(SubGCode14&lt;&gt;0,SubGCode14,"")</f>
        <v/>
      </c>
      <c r="E21" s="857" t="n"/>
      <c r="F21" s="257">
        <f>IF(SubDEVN14&lt;&gt;0,SubDEVN14,"")</f>
        <v/>
      </c>
      <c r="G21" s="857" t="n"/>
    </row>
    <row r="22" ht="35.15" customHeight="1">
      <c r="A22" s="257">
        <f>IF(SubLotn15&lt;&gt;0,SubLotn15,"")</f>
        <v/>
      </c>
      <c r="B22" s="257">
        <f>IF(SubSize15&lt;&gt;0,SubSize15,"")</f>
        <v/>
      </c>
      <c r="C22" s="257">
        <f>IF(SubRCar15&lt;&gt;0,SubRCar15,"")</f>
        <v/>
      </c>
      <c r="D22" s="257">
        <f>IF(SubGCode15&lt;&gt;0,SubGCode15,"")</f>
        <v/>
      </c>
      <c r="E22" s="857" t="n"/>
      <c r="F22" s="257">
        <f>IF(SubDEVN15&lt;&gt;0,SubDEVN15,"")</f>
        <v/>
      </c>
      <c r="G22" s="857" t="n"/>
    </row>
    <row r="23" ht="32.15" customHeight="1">
      <c r="A23" s="489" t="n"/>
      <c r="B23" s="489" t="n"/>
      <c r="C23" s="489" t="n"/>
      <c r="D23" s="489" t="n"/>
      <c r="E23" s="489" t="n"/>
      <c r="F23" s="489" t="n"/>
      <c r="G23" s="489" t="n"/>
    </row>
    <row r="25">
      <c r="A25" s="489" t="n"/>
      <c r="B25" s="489" t="n"/>
      <c r="C25" s="489" t="n"/>
      <c r="D25" s="489" t="n"/>
      <c r="E25" s="489" t="n"/>
      <c r="F25" s="489" t="n"/>
      <c r="G25" s="489" t="n"/>
    </row>
  </sheetData>
  <sheetProtection selectLockedCells="1" selectUnlockedCells="0" sheet="1" objects="1" insertRows="1" insertHyperlinks="1" autoFilter="1" scenarios="1" formatColumns="1" deleteColumns="1" insertColumns="1" pivotTables="1" deleteRows="1" formatCells="1" formatRows="1" sort="1"/>
  <mergeCells count="38">
    <mergeCell ref="D7:E7"/>
    <mergeCell ref="F7:G7"/>
    <mergeCell ref="D18:E18"/>
    <mergeCell ref="F18:G18"/>
    <mergeCell ref="D19:E19"/>
    <mergeCell ref="F19:G19"/>
    <mergeCell ref="D8:E8"/>
    <mergeCell ref="F8:G8"/>
    <mergeCell ref="D9:E9"/>
    <mergeCell ref="F9:G9"/>
    <mergeCell ref="D10:E10"/>
    <mergeCell ref="F10:G10"/>
    <mergeCell ref="D11:E11"/>
    <mergeCell ref="F11:G11"/>
    <mergeCell ref="D12:E12"/>
    <mergeCell ref="F12:G12"/>
    <mergeCell ref="D20:E20"/>
    <mergeCell ref="F20:G20"/>
    <mergeCell ref="D21:E21"/>
    <mergeCell ref="F21:G21"/>
    <mergeCell ref="D22:E22"/>
    <mergeCell ref="F22:G22"/>
    <mergeCell ref="A1:A2"/>
    <mergeCell ref="B1:C1"/>
    <mergeCell ref="E1:F1"/>
    <mergeCell ref="B2:C2"/>
    <mergeCell ref="D2:E2"/>
    <mergeCell ref="F2:G2"/>
    <mergeCell ref="D16:E16"/>
    <mergeCell ref="F16:G16"/>
    <mergeCell ref="D17:E17"/>
    <mergeCell ref="F17:G17"/>
    <mergeCell ref="D13:E13"/>
    <mergeCell ref="F13:G13"/>
    <mergeCell ref="D14:E14"/>
    <mergeCell ref="F14:G14"/>
    <mergeCell ref="D15:E15"/>
    <mergeCell ref="F15:G15"/>
  </mergeCells>
  <pageMargins left="0.7" right="0.7" top="0.75" bottom="0.75" header="0.3" footer="0.3"/>
  <pageSetup orientation="landscape" scale="65"/>
  <headerFooter alignWithMargins="0">
    <oddHeader/>
    <oddFooter>&amp;L&amp;8 NETWORK LOCATION:  MPCI data\Forms\Production Forms&amp;R&amp;8 RETENTION REQUIREMENT:  Maintain with job packet for 3 years.</oddFooter>
    <evenHeader/>
    <evenFooter/>
    <firstHeader/>
    <firstFooter/>
  </headerFooter>
</worksheet>
</file>

<file path=xl/worksheets/sheet8.xml><?xml version="1.0" encoding="utf-8"?>
<worksheet xmlns="http://schemas.openxmlformats.org/spreadsheetml/2006/main">
  <sheetPr codeName="Sheet9">
    <outlinePr summaryBelow="1" summaryRight="1"/>
    <pageSetUpPr/>
  </sheetPr>
  <dimension ref="A1:BZ31"/>
  <sheetViews>
    <sheetView showGridLines="0" view="pageBreakPreview" topLeftCell="B1" zoomScale="85" zoomScaleNormal="100" zoomScaleSheetLayoutView="85" workbookViewId="0">
      <selection activeCell="B3" sqref="B3"/>
    </sheetView>
  </sheetViews>
  <sheetFormatPr baseColWidth="8" defaultColWidth="9.1796875" defaultRowHeight="12.5"/>
  <cols>
    <col width="9.1796875" customWidth="1" style="662" min="1" max="1"/>
    <col width="12" customWidth="1" style="662" min="2" max="2"/>
    <col width="9.1796875" customWidth="1" style="662" min="3" max="3"/>
    <col width="13" customWidth="1" style="662" min="4" max="4"/>
    <col width="13.54296875" customWidth="1" style="662" min="5" max="5"/>
    <col width="22.26953125" customWidth="1" style="662" min="6" max="6"/>
    <col width="9.453125" customWidth="1" style="662" min="7" max="7"/>
    <col width="15" customWidth="1" style="662" min="8" max="8"/>
    <col width="15.1796875" customWidth="1" style="662" min="9" max="9"/>
    <col width="53" customWidth="1" style="662" min="10" max="10"/>
    <col width="9.1796875" customWidth="1" style="662" min="11" max="16384"/>
  </cols>
  <sheetData>
    <row r="1" ht="20.65" customHeight="1">
      <c r="A1" s="895" t="inlineStr">
        <is>
          <t>MPCI</t>
        </is>
      </c>
      <c r="B1" s="912" t="inlineStr">
        <is>
          <t>RAW MATERIALS DESTAGE &amp; TRANSFER SHEET</t>
        </is>
      </c>
      <c r="C1" s="856" t="n"/>
      <c r="D1" s="856" t="n"/>
      <c r="E1" s="856" t="n"/>
      <c r="F1" s="856" t="n"/>
      <c r="G1" s="857" t="n"/>
      <c r="H1" s="716" t="inlineStr">
        <is>
          <t>DOC:                  FRM-120</t>
        </is>
      </c>
      <c r="I1" s="630" t="inlineStr">
        <is>
          <t>REVISION LEVEL: 009</t>
        </is>
      </c>
      <c r="J1" s="219" t="inlineStr">
        <is>
          <t>ISSUE DATE:  07/13/17</t>
        </is>
      </c>
      <c r="O1" s="46" t="n"/>
      <c r="P1" s="46" t="n"/>
      <c r="Q1" s="46" t="n"/>
      <c r="R1" s="46" t="n"/>
      <c r="S1" s="46" t="n"/>
      <c r="T1" s="46" t="n"/>
      <c r="U1" s="46" t="n"/>
      <c r="V1" s="46" t="n"/>
      <c r="W1" s="46" t="n"/>
      <c r="X1" s="46" t="n"/>
      <c r="Y1" s="46" t="n"/>
      <c r="Z1" s="46" t="n"/>
      <c r="AA1" s="46" t="n"/>
      <c r="AB1" s="46" t="n"/>
      <c r="AC1" s="46" t="n"/>
      <c r="AD1" s="46" t="n"/>
      <c r="AE1" s="46" t="n"/>
      <c r="AF1" s="46" t="n"/>
      <c r="AG1" s="46" t="n"/>
      <c r="AH1" s="46" t="n"/>
      <c r="AI1" s="46" t="n"/>
      <c r="AJ1" s="46" t="n"/>
      <c r="AK1" s="46" t="n"/>
      <c r="AL1" s="46" t="n"/>
      <c r="AM1" s="46" t="n"/>
      <c r="AN1" s="46" t="n"/>
      <c r="AO1" s="46" t="n"/>
      <c r="AP1" s="46" t="n"/>
      <c r="AQ1" s="46" t="n"/>
      <c r="AR1" s="46" t="n"/>
      <c r="AS1" s="46" t="n"/>
      <c r="AT1" s="46" t="n"/>
      <c r="AU1" s="46" t="n"/>
      <c r="AV1" s="46" t="n"/>
      <c r="AW1" s="46" t="n"/>
      <c r="AX1" s="46" t="n"/>
      <c r="AY1" s="46" t="n"/>
      <c r="AZ1" s="46" t="n"/>
      <c r="BA1" s="46" t="n"/>
      <c r="BB1" s="46" t="n"/>
      <c r="BC1" s="46" t="n"/>
      <c r="BD1" s="46" t="n"/>
      <c r="BE1" s="46" t="n"/>
      <c r="BF1" s="46" t="n"/>
      <c r="BG1" s="46" t="n"/>
      <c r="BH1" s="46" t="n"/>
      <c r="BI1" s="46" t="n"/>
      <c r="BJ1" s="46" t="n"/>
      <c r="BK1" s="46" t="n"/>
      <c r="BM1" s="46" t="n"/>
      <c r="BN1" s="46" t="n"/>
      <c r="BO1" s="46" t="n"/>
      <c r="BP1" s="46" t="n"/>
      <c r="BQ1" s="46" t="n"/>
      <c r="BR1" s="46" t="n"/>
      <c r="BS1" s="46" t="n"/>
      <c r="BT1" s="46" t="n"/>
      <c r="BU1" s="46" t="n"/>
      <c r="BV1" s="46" t="n"/>
      <c r="BW1" s="46" t="n"/>
      <c r="BX1" s="46" t="n"/>
      <c r="BY1" s="46" t="n"/>
      <c r="BZ1" s="46" t="n"/>
    </row>
    <row r="2" ht="20.65" customHeight="1">
      <c r="A2" s="846" t="n"/>
      <c r="B2" s="695" t="inlineStr">
        <is>
          <t>Form Reviewed by: Quality Coordinator</t>
        </is>
      </c>
      <c r="C2" s="856" t="n"/>
      <c r="D2" s="857" t="n"/>
      <c r="E2" s="558" t="inlineStr">
        <is>
          <t>Form Approved by: Site Mgr.</t>
        </is>
      </c>
      <c r="F2" s="857" t="n"/>
      <c r="G2" s="558" t="inlineStr">
        <is>
          <t>Reference:  Packaging and Destaging Material from feeders PRO-377</t>
        </is>
      </c>
      <c r="H2" s="856" t="n"/>
      <c r="I2" s="856" t="n"/>
      <c r="J2" s="857" t="n"/>
      <c r="O2" s="46" t="n"/>
      <c r="P2" s="46" t="n"/>
      <c r="Q2" s="46" t="n"/>
      <c r="R2" s="46" t="n"/>
      <c r="S2" s="46" t="n"/>
      <c r="T2" s="46" t="n"/>
      <c r="U2" s="46" t="n"/>
      <c r="V2" s="46" t="n"/>
      <c r="W2" s="46" t="n"/>
      <c r="X2" s="46" t="n"/>
      <c r="Y2" s="46" t="n"/>
      <c r="Z2" s="46" t="n"/>
      <c r="AA2" s="46" t="n"/>
      <c r="AB2" s="46" t="n"/>
      <c r="AC2" s="46" t="n"/>
      <c r="AD2" s="46" t="n"/>
      <c r="AE2" s="46" t="n"/>
      <c r="AF2" s="46" t="n"/>
      <c r="AG2" s="46" t="n"/>
      <c r="AH2" s="46" t="n"/>
      <c r="AI2" s="46" t="n"/>
      <c r="AJ2" s="46" t="n"/>
      <c r="AK2" s="46" t="n"/>
      <c r="AL2" s="46" t="n"/>
      <c r="AM2" s="46" t="n"/>
      <c r="AN2" s="46" t="n"/>
      <c r="AO2" s="46" t="n"/>
      <c r="AP2" s="46" t="n"/>
      <c r="AQ2" s="46" t="n"/>
      <c r="AR2" s="46" t="n"/>
      <c r="AS2" s="46" t="n"/>
      <c r="AT2" s="46" t="n"/>
      <c r="AU2" s="46" t="n"/>
      <c r="AV2" s="46" t="n"/>
      <c r="AW2" s="46" t="n"/>
      <c r="AX2" s="46" t="n"/>
      <c r="AY2" s="46" t="n"/>
      <c r="AZ2" s="46" t="n"/>
      <c r="BA2" s="46" t="n"/>
      <c r="BB2" s="46" t="n"/>
      <c r="BC2" s="46" t="n"/>
      <c r="BD2" s="46" t="n"/>
      <c r="BE2" s="46" t="n"/>
      <c r="BF2" s="46" t="n"/>
      <c r="BG2" s="46" t="n"/>
      <c r="BH2" s="46" t="n"/>
      <c r="BI2" s="46" t="n"/>
      <c r="BJ2" s="46" t="n"/>
      <c r="BK2" s="46" t="n"/>
      <c r="BM2" s="47" t="n"/>
      <c r="BN2" s="47" t="n"/>
      <c r="BO2" s="47" t="n"/>
      <c r="BP2" s="47" t="n"/>
      <c r="BQ2" s="47" t="n"/>
      <c r="BR2" s="47" t="n"/>
      <c r="BS2" s="47" t="n"/>
      <c r="BT2" s="47" t="n"/>
      <c r="BU2" s="47" t="n"/>
      <c r="BV2" s="47" t="n"/>
      <c r="BW2" s="47" t="n"/>
      <c r="BX2" s="47" t="n"/>
      <c r="BY2" s="47" t="n"/>
      <c r="BZ2" s="47" t="n"/>
    </row>
    <row r="3" ht="22.9" customFormat="1" customHeight="1" s="566">
      <c r="A3" s="220" t="inlineStr">
        <is>
          <t xml:space="preserve">JOB # </t>
        </is>
      </c>
      <c r="B3" s="221">
        <f>IF(JobNumber&lt;&gt;0,JobNumber,"")</f>
        <v/>
      </c>
      <c r="C3" s="220" t="inlineStr">
        <is>
          <t xml:space="preserve">LINE # </t>
        </is>
      </c>
      <c r="D3" s="221">
        <f>IF(ProductionLineNumber&lt;&gt;0,ProductionLineNumber,"")</f>
        <v/>
      </c>
      <c r="E3" s="220" t="inlineStr">
        <is>
          <t>DATE:</t>
        </is>
      </c>
      <c r="F3" s="222" t="n"/>
    </row>
    <row r="4">
      <c r="A4" s="223" t="n"/>
      <c r="B4" s="224" t="n"/>
      <c r="C4" s="225" t="n"/>
      <c r="D4" s="225" t="n"/>
      <c r="E4" s="225" t="n"/>
    </row>
    <row r="5">
      <c r="A5" s="224" t="inlineStr">
        <is>
          <t xml:space="preserve"> </t>
        </is>
      </c>
      <c r="B5" s="224" t="n"/>
      <c r="C5" s="223" t="n"/>
      <c r="D5" s="223" t="n"/>
      <c r="E5" s="223" t="n"/>
      <c r="F5" s="226" t="n"/>
      <c r="G5" s="226" t="n"/>
      <c r="H5" s="226" t="n"/>
    </row>
    <row r="6">
      <c r="A6" s="224" t="n"/>
      <c r="B6" s="653" t="n"/>
      <c r="C6" s="225" t="n"/>
      <c r="E6" s="225" t="n"/>
    </row>
    <row r="7" ht="14.5" customHeight="1" thickBot="1">
      <c r="A7" s="653" t="n"/>
      <c r="B7" s="566" t="n"/>
      <c r="D7" s="225" t="n"/>
    </row>
    <row r="8" ht="13.5" customHeight="1" thickBot="1">
      <c r="A8" s="227" t="inlineStr">
        <is>
          <t>INGREDIENT NAME</t>
        </is>
      </c>
      <c r="B8" s="228" t="n"/>
      <c r="C8" s="227" t="inlineStr">
        <is>
          <t xml:space="preserve">           LOT #</t>
        </is>
      </c>
      <c r="D8" s="229" t="n"/>
      <c r="E8" s="230" t="inlineStr">
        <is>
          <t>RCVR  #</t>
        </is>
      </c>
      <c r="F8" s="231" t="inlineStr">
        <is>
          <t xml:space="preserve">      QTY /LBS  </t>
        </is>
      </c>
      <c r="G8" s="232" t="inlineStr">
        <is>
          <t xml:space="preserve"> </t>
        </is>
      </c>
      <c r="H8" s="230" t="inlineStr">
        <is>
          <t>NAME/TEAM</t>
        </is>
      </c>
      <c r="I8" s="230" t="inlineStr">
        <is>
          <t>CHECKER</t>
        </is>
      </c>
      <c r="J8" s="230" t="inlineStr">
        <is>
          <t xml:space="preserve">     NOTES</t>
        </is>
      </c>
    </row>
    <row r="9" ht="30" customHeight="1" thickBot="1">
      <c r="A9" s="233" t="n"/>
      <c r="B9" s="234" t="n"/>
      <c r="C9" s="235" t="n"/>
      <c r="D9" s="234" t="n"/>
      <c r="E9" s="234" t="n"/>
      <c r="F9" s="235" t="n"/>
      <c r="G9" s="234" t="n"/>
      <c r="H9" s="234" t="n"/>
      <c r="I9" s="234" t="n"/>
      <c r="J9" s="234" t="n"/>
      <c r="K9" s="99" t="n"/>
    </row>
    <row r="10" ht="30" customHeight="1" thickBot="1">
      <c r="A10" s="236" t="n"/>
      <c r="B10" s="234" t="n"/>
      <c r="C10" s="235" t="n"/>
      <c r="D10" s="234" t="n"/>
      <c r="E10" s="234" t="n"/>
      <c r="F10" s="235" t="n"/>
      <c r="G10" s="234" t="n"/>
      <c r="H10" s="234" t="n"/>
      <c r="I10" s="234" t="n"/>
      <c r="J10" s="234" t="n"/>
    </row>
    <row r="11" ht="30" customHeight="1" thickBot="1">
      <c r="A11" s="236" t="n"/>
      <c r="B11" s="234" t="n"/>
      <c r="C11" s="235" t="n"/>
      <c r="D11" s="234" t="n"/>
      <c r="E11" s="234" t="n"/>
      <c r="F11" s="235" t="n"/>
      <c r="G11" s="234" t="n"/>
      <c r="H11" s="234" t="n"/>
      <c r="I11" s="234" t="n"/>
      <c r="J11" s="234" t="n"/>
    </row>
    <row r="12" ht="30" customHeight="1" thickBot="1">
      <c r="A12" s="236" t="n"/>
      <c r="B12" s="234" t="n"/>
      <c r="C12" s="235" t="n"/>
      <c r="D12" s="234" t="n"/>
      <c r="E12" s="234" t="n"/>
      <c r="F12" s="235" t="n"/>
      <c r="G12" s="234" t="n"/>
      <c r="H12" s="234" t="n"/>
      <c r="I12" s="234" t="n"/>
      <c r="J12" s="234" t="n"/>
    </row>
    <row r="13" ht="30" customHeight="1" thickBot="1">
      <c r="A13" s="236" t="n"/>
      <c r="B13" s="234" t="n"/>
      <c r="C13" s="235" t="n"/>
      <c r="D13" s="234" t="n"/>
      <c r="E13" s="234" t="n"/>
      <c r="F13" s="235" t="n"/>
      <c r="G13" s="234" t="n"/>
      <c r="H13" s="234" t="n"/>
      <c r="I13" s="234" t="n"/>
      <c r="J13" s="234" t="n"/>
    </row>
    <row r="14" ht="30" customHeight="1" thickBot="1">
      <c r="A14" s="236" t="n"/>
      <c r="B14" s="234" t="n"/>
      <c r="C14" s="235" t="n"/>
      <c r="D14" s="234" t="n"/>
      <c r="E14" s="234" t="n"/>
      <c r="F14" s="235" t="n"/>
      <c r="G14" s="234" t="n"/>
      <c r="H14" s="234" t="n"/>
      <c r="I14" s="234" t="n"/>
      <c r="J14" s="234" t="n"/>
    </row>
    <row r="15" ht="30" customHeight="1" thickBot="1">
      <c r="A15" s="236" t="n"/>
      <c r="B15" s="234" t="n"/>
      <c r="C15" s="235" t="n"/>
      <c r="D15" s="234" t="n"/>
      <c r="E15" s="234" t="n"/>
      <c r="F15" s="235" t="n"/>
      <c r="G15" s="234" t="n"/>
      <c r="H15" s="234" t="n"/>
      <c r="I15" s="234" t="n"/>
      <c r="J15" s="234" t="n"/>
    </row>
    <row r="16" ht="30" customHeight="1" thickBot="1">
      <c r="A16" s="236" t="n"/>
      <c r="B16" s="234" t="n"/>
      <c r="C16" s="235" t="n"/>
      <c r="D16" s="234" t="n"/>
      <c r="E16" s="234" t="n"/>
      <c r="F16" s="235" t="n"/>
      <c r="G16" s="234" t="n"/>
      <c r="H16" s="234" t="n"/>
      <c r="I16" s="234" t="n"/>
      <c r="J16" s="234" t="n"/>
    </row>
    <row r="17" ht="30" customHeight="1" thickBot="1">
      <c r="A17" s="236" t="n"/>
      <c r="B17" s="234" t="n"/>
      <c r="C17" s="235" t="n"/>
      <c r="D17" s="234" t="n"/>
      <c r="E17" s="234" t="n"/>
      <c r="F17" s="235" t="n"/>
      <c r="G17" s="234" t="n"/>
      <c r="H17" s="234" t="n"/>
      <c r="I17" s="234" t="n"/>
      <c r="J17" s="234" t="n"/>
    </row>
    <row r="18" ht="30" customHeight="1" thickBot="1">
      <c r="A18" s="236" t="n"/>
      <c r="B18" s="234" t="n"/>
      <c r="C18" s="235" t="n"/>
      <c r="D18" s="234" t="n"/>
      <c r="E18" s="234" t="n"/>
      <c r="F18" s="235" t="n"/>
      <c r="G18" s="234" t="n"/>
      <c r="H18" s="234" t="n"/>
      <c r="I18" s="234" t="n"/>
      <c r="J18" s="234" t="n"/>
    </row>
    <row r="19" ht="30" customHeight="1" thickBot="1">
      <c r="A19" s="236" t="n"/>
      <c r="B19" s="234" t="n"/>
      <c r="C19" s="235" t="n"/>
      <c r="D19" s="234" t="n"/>
      <c r="E19" s="234" t="n"/>
      <c r="F19" s="235" t="n"/>
      <c r="G19" s="234" t="n"/>
      <c r="H19" s="234" t="n"/>
      <c r="I19" s="234" t="n"/>
      <c r="J19" s="234" t="n"/>
    </row>
    <row r="20" ht="30" customHeight="1" thickBot="1">
      <c r="A20" s="236" t="n"/>
      <c r="B20" s="234" t="n"/>
      <c r="C20" s="235" t="n"/>
      <c r="D20" s="234" t="n"/>
      <c r="E20" s="234" t="n"/>
      <c r="F20" s="235" t="n"/>
      <c r="G20" s="234" t="n"/>
      <c r="H20" s="234" t="n"/>
      <c r="I20" s="234" t="n"/>
      <c r="J20" s="234" t="n"/>
    </row>
    <row r="21" ht="19.15" customHeight="1">
      <c r="A21" s="237" t="inlineStr">
        <is>
          <t>Floorsweep and Scrap are to be noted on Frm-111 Finished Product Packout. Not this sheet.</t>
        </is>
      </c>
      <c r="B21" s="238" t="n"/>
      <c r="C21" s="238" t="n"/>
      <c r="D21" s="238" t="n"/>
      <c r="E21" s="238" t="n"/>
      <c r="F21" s="238" t="n"/>
      <c r="G21" s="238" t="n"/>
      <c r="H21" s="238" t="n"/>
      <c r="I21" s="238" t="n"/>
      <c r="J21" s="238" t="n"/>
    </row>
    <row r="22" ht="19.15" customHeight="1">
      <c r="A22" s="237" t="inlineStr">
        <is>
          <t>A weigh ticket must be taped to all destaged partial cartons and supersacks.</t>
        </is>
      </c>
      <c r="B22" s="238" t="n"/>
      <c r="C22" s="238" t="n"/>
      <c r="D22" s="238" t="n"/>
      <c r="E22" s="238" t="n"/>
      <c r="F22" s="238" t="n"/>
      <c r="G22" s="238" t="n"/>
      <c r="H22" s="238" t="n"/>
      <c r="I22" s="238" t="n"/>
      <c r="J22" s="238" t="n"/>
    </row>
    <row r="23" ht="18.65" customHeight="1">
      <c r="A23" s="237" t="inlineStr">
        <is>
          <t>A weigh ticket must be stapled to this sheet for all destaged blend materials.</t>
        </is>
      </c>
      <c r="B23" s="238" t="n"/>
      <c r="C23" s="238" t="n"/>
      <c r="D23" s="238" t="n"/>
      <c r="E23" s="238" t="n"/>
      <c r="F23" s="238" t="n"/>
      <c r="G23" s="238" t="n"/>
      <c r="H23" s="238" t="n"/>
      <c r="I23" s="238" t="n"/>
      <c r="J23" s="238" t="n"/>
    </row>
    <row r="24" ht="4.15" customHeight="1" thickBot="1">
      <c r="A24" s="239" t="n"/>
      <c r="B24" s="239" t="n"/>
      <c r="C24" s="239" t="n"/>
      <c r="D24" s="239" t="n"/>
      <c r="E24" s="239" t="n"/>
      <c r="F24" s="239" t="n"/>
      <c r="G24" s="239" t="n"/>
      <c r="H24" s="239" t="n"/>
      <c r="I24" s="239" t="n"/>
      <c r="J24" s="239" t="n"/>
    </row>
    <row r="25" ht="25.9" customHeight="1" thickBot="1">
      <c r="A25" s="240" t="inlineStr">
        <is>
          <t>Transfer to job#________                        OP Transferring__________                                            TL approving___________</t>
        </is>
      </c>
      <c r="B25" s="241" t="n"/>
      <c r="C25" s="241" t="n"/>
      <c r="D25" s="241" t="n"/>
      <c r="E25" s="241" t="n"/>
      <c r="F25" s="241" t="n"/>
      <c r="G25" s="241" t="n"/>
      <c r="H25" s="241" t="n"/>
      <c r="I25" s="241" t="n"/>
      <c r="J25" s="241" t="n"/>
    </row>
    <row r="26" ht="23.5" customHeight="1">
      <c r="A26" s="913" t="inlineStr">
        <is>
          <t>Material</t>
        </is>
      </c>
      <c r="B26" s="856" t="n"/>
      <c r="C26" s="857" t="n"/>
      <c r="D26" s="242" t="inlineStr">
        <is>
          <t>Rcvr #</t>
        </is>
      </c>
      <c r="E26" s="914" t="inlineStr">
        <is>
          <t>Lot #</t>
        </is>
      </c>
      <c r="F26" s="857" t="n"/>
      <c r="G26" s="242" t="inlineStr">
        <is>
          <t>Feeder  #</t>
        </is>
      </c>
      <c r="H26" s="242" t="inlineStr">
        <is>
          <t>lbs in hopper</t>
        </is>
      </c>
      <c r="I26" s="243" t="inlineStr">
        <is>
          <t>qty/lbs in package</t>
        </is>
      </c>
      <c r="J26" s="701" t="inlineStr">
        <is>
          <t>ALL MATERIALS TRANSFERRING TO THE NEXT RUN, INCLUDING LBS IN THE FEEDER AND HOPPER, MUST BE LISTED ALONG WITH THE JOB# THEY ARE TRANSFERRING TO.
(Bulk material feeders do not transfer.)
A copy of the PIP that these materials transferred to must be stapled to this sheet.</t>
        </is>
      </c>
    </row>
    <row r="27" ht="25.9" customFormat="1" customHeight="1" s="180">
      <c r="A27" s="703" t="n"/>
      <c r="B27" s="856" t="n"/>
      <c r="C27" s="857" t="n"/>
      <c r="D27" s="244" t="n"/>
      <c r="E27" s="704" t="n"/>
      <c r="F27" s="857" t="n"/>
      <c r="G27" s="244" t="n"/>
      <c r="H27" s="244" t="n"/>
      <c r="I27" s="245" t="n"/>
      <c r="J27" s="915" t="n"/>
    </row>
    <row r="28" ht="25.9" customFormat="1" customHeight="1" s="180">
      <c r="A28" s="703" t="n"/>
      <c r="B28" s="856" t="n"/>
      <c r="C28" s="857" t="n"/>
      <c r="D28" s="244" t="n"/>
      <c r="E28" s="704" t="n"/>
      <c r="F28" s="857" t="n"/>
      <c r="G28" s="244" t="n"/>
      <c r="H28" s="244" t="n"/>
      <c r="I28" s="245" t="n"/>
      <c r="J28" s="915" t="n"/>
    </row>
    <row r="29" ht="25.9" customHeight="1">
      <c r="A29" s="703" t="n"/>
      <c r="B29" s="856" t="n"/>
      <c r="C29" s="857" t="n"/>
      <c r="D29" s="244" t="n"/>
      <c r="E29" s="704" t="n"/>
      <c r="F29" s="857" t="n"/>
      <c r="G29" s="244" t="n"/>
      <c r="H29" s="244" t="n"/>
      <c r="I29" s="245" t="n"/>
      <c r="J29" s="915" t="n"/>
    </row>
    <row r="30" ht="25.9" customHeight="1">
      <c r="A30" s="703" t="n"/>
      <c r="B30" s="856" t="n"/>
      <c r="C30" s="857" t="n"/>
      <c r="D30" s="244" t="n"/>
      <c r="E30" s="704" t="n"/>
      <c r="F30" s="857" t="n"/>
      <c r="G30" s="244" t="n"/>
      <c r="H30" s="244" t="n"/>
      <c r="I30" s="245" t="n"/>
      <c r="J30" s="915" t="n"/>
    </row>
    <row r="31" ht="25.9" customHeight="1" thickBot="1">
      <c r="A31" s="703" t="n"/>
      <c r="B31" s="856" t="n"/>
      <c r="C31" s="857" t="n"/>
      <c r="D31" s="244" t="n"/>
      <c r="E31" s="704" t="n"/>
      <c r="F31" s="857" t="n"/>
      <c r="G31" s="244" t="n"/>
      <c r="H31" s="244" t="n"/>
      <c r="I31" s="245" t="n"/>
      <c r="J31" s="246" t="n"/>
    </row>
    <row r="32" ht="8.5" customHeight="1"/>
  </sheetData>
  <sheetProtection selectLockedCells="1" selectUnlockedCells="0" sheet="1" objects="1" insertRows="1" insertHyperlinks="1" autoFilter="1" scenarios="1" formatColumns="1" deleteColumns="1" insertColumns="1" pivotTables="1" deleteRows="1" formatCells="1" formatRows="1" sort="1"/>
  <mergeCells count="18">
    <mergeCell ref="A31:C31"/>
    <mergeCell ref="E31:F31"/>
    <mergeCell ref="A28:C28"/>
    <mergeCell ref="E28:F28"/>
    <mergeCell ref="A29:C29"/>
    <mergeCell ref="E29:F29"/>
    <mergeCell ref="A30:C30"/>
    <mergeCell ref="E30:F30"/>
    <mergeCell ref="A1:A2"/>
    <mergeCell ref="B1:G1"/>
    <mergeCell ref="B2:D2"/>
    <mergeCell ref="E2:F2"/>
    <mergeCell ref="G2:J2"/>
    <mergeCell ref="A26:C26"/>
    <mergeCell ref="E26:F26"/>
    <mergeCell ref="J26:J30"/>
    <mergeCell ref="A27:C27"/>
    <mergeCell ref="E27:F27"/>
  </mergeCells>
  <printOptions horizontalCentered="1"/>
  <pageMargins left="0" right="0" top="0.21" bottom="0.3" header="0.21" footer="0.25"/>
  <pageSetup orientation="landscape" scale="80"/>
  <headerFooter alignWithMargins="0">
    <oddHeader/>
    <oddFooter>&amp;LNETWORK ADDRESS:_x000a_MPCI data\Forms\Customer Service Forms&amp;RRETENTION REQUIREMENT:_x000a_Maintain in Job Packet for 3 years</oddFooter>
    <evenHeader/>
    <evenFooter/>
    <firstHeader/>
    <firstFooter/>
  </headerFooter>
</worksheet>
</file>

<file path=xl/worksheets/sheet9.xml><?xml version="1.0" encoding="utf-8"?>
<worksheet xmlns="http://schemas.openxmlformats.org/spreadsheetml/2006/main">
  <sheetPr codeName="Sheet6">
    <outlinePr summaryBelow="1" summaryRight="1"/>
    <pageSetUpPr/>
  </sheetPr>
  <dimension ref="A1:CE53"/>
  <sheetViews>
    <sheetView showGridLines="0" view="pageBreakPreview" topLeftCell="A2" zoomScaleNormal="100" zoomScaleSheetLayoutView="100" workbookViewId="0">
      <selection activeCell="C4" sqref="C4:G4"/>
    </sheetView>
  </sheetViews>
  <sheetFormatPr baseColWidth="8" defaultRowHeight="12.5"/>
  <cols>
    <col width="8.7265625" customWidth="1" style="662" min="1" max="12"/>
    <col width="11.1796875" customWidth="1" style="662" min="13" max="13"/>
    <col width="9.1796875" customWidth="1" style="662" min="14" max="256"/>
    <col width="8.7265625" customWidth="1" style="662" min="257" max="268"/>
    <col width="11.1796875" customWidth="1" style="662" min="269" max="269"/>
    <col width="9.1796875" customWidth="1" style="662" min="270" max="512"/>
    <col width="8.7265625" customWidth="1" style="662" min="513" max="524"/>
    <col width="11.1796875" customWidth="1" style="662" min="525" max="525"/>
    <col width="9.1796875" customWidth="1" style="662" min="526" max="768"/>
    <col width="8.7265625" customWidth="1" style="662" min="769" max="780"/>
    <col width="11.1796875" customWidth="1" style="662" min="781" max="781"/>
    <col width="9.1796875" customWidth="1" style="662" min="782" max="1024"/>
    <col width="8.7265625" customWidth="1" style="662" min="1025" max="1036"/>
    <col width="11.1796875" customWidth="1" style="662" min="1037" max="1037"/>
    <col width="9.1796875" customWidth="1" style="662" min="1038" max="1280"/>
    <col width="8.7265625" customWidth="1" style="662" min="1281" max="1292"/>
    <col width="11.1796875" customWidth="1" style="662" min="1293" max="1293"/>
    <col width="9.1796875" customWidth="1" style="662" min="1294" max="1536"/>
    <col width="8.7265625" customWidth="1" style="662" min="1537" max="1548"/>
    <col width="11.1796875" customWidth="1" style="662" min="1549" max="1549"/>
    <col width="9.1796875" customWidth="1" style="662" min="1550" max="1792"/>
    <col width="8.7265625" customWidth="1" style="662" min="1793" max="1804"/>
    <col width="11.1796875" customWidth="1" style="662" min="1805" max="1805"/>
    <col width="9.1796875" customWidth="1" style="662" min="1806" max="2048"/>
    <col width="8.7265625" customWidth="1" style="662" min="2049" max="2060"/>
    <col width="11.1796875" customWidth="1" style="662" min="2061" max="2061"/>
    <col width="9.1796875" customWidth="1" style="662" min="2062" max="2304"/>
    <col width="8.7265625" customWidth="1" style="662" min="2305" max="2316"/>
    <col width="11.1796875" customWidth="1" style="662" min="2317" max="2317"/>
    <col width="9.1796875" customWidth="1" style="662" min="2318" max="2560"/>
    <col width="8.7265625" customWidth="1" style="662" min="2561" max="2572"/>
    <col width="11.1796875" customWidth="1" style="662" min="2573" max="2573"/>
    <col width="9.1796875" customWidth="1" style="662" min="2574" max="2816"/>
    <col width="8.7265625" customWidth="1" style="662" min="2817" max="2828"/>
    <col width="11.1796875" customWidth="1" style="662" min="2829" max="2829"/>
    <col width="9.1796875" customWidth="1" style="662" min="2830" max="3072"/>
    <col width="8.7265625" customWidth="1" style="662" min="3073" max="3084"/>
    <col width="11.1796875" customWidth="1" style="662" min="3085" max="3085"/>
    <col width="9.1796875" customWidth="1" style="662" min="3086" max="3328"/>
    <col width="8.7265625" customWidth="1" style="662" min="3329" max="3340"/>
    <col width="11.1796875" customWidth="1" style="662" min="3341" max="3341"/>
    <col width="9.1796875" customWidth="1" style="662" min="3342" max="3584"/>
    <col width="8.7265625" customWidth="1" style="662" min="3585" max="3596"/>
    <col width="11.1796875" customWidth="1" style="662" min="3597" max="3597"/>
    <col width="9.1796875" customWidth="1" style="662" min="3598" max="3840"/>
    <col width="8.7265625" customWidth="1" style="662" min="3841" max="3852"/>
    <col width="11.1796875" customWidth="1" style="662" min="3853" max="3853"/>
    <col width="9.1796875" customWidth="1" style="662" min="3854" max="4096"/>
    <col width="8.7265625" customWidth="1" style="662" min="4097" max="4108"/>
    <col width="11.1796875" customWidth="1" style="662" min="4109" max="4109"/>
    <col width="9.1796875" customWidth="1" style="662" min="4110" max="4352"/>
    <col width="8.7265625" customWidth="1" style="662" min="4353" max="4364"/>
    <col width="11.1796875" customWidth="1" style="662" min="4365" max="4365"/>
    <col width="9.1796875" customWidth="1" style="662" min="4366" max="4608"/>
    <col width="8.7265625" customWidth="1" style="662" min="4609" max="4620"/>
    <col width="11.1796875" customWidth="1" style="662" min="4621" max="4621"/>
    <col width="9.1796875" customWidth="1" style="662" min="4622" max="4864"/>
    <col width="8.7265625" customWidth="1" style="662" min="4865" max="4876"/>
    <col width="11.1796875" customWidth="1" style="662" min="4877" max="4877"/>
    <col width="9.1796875" customWidth="1" style="662" min="4878" max="5120"/>
    <col width="8.7265625" customWidth="1" style="662" min="5121" max="5132"/>
    <col width="11.1796875" customWidth="1" style="662" min="5133" max="5133"/>
    <col width="9.1796875" customWidth="1" style="662" min="5134" max="5376"/>
    <col width="8.7265625" customWidth="1" style="662" min="5377" max="5388"/>
    <col width="11.1796875" customWidth="1" style="662" min="5389" max="5389"/>
    <col width="9.1796875" customWidth="1" style="662" min="5390" max="5632"/>
    <col width="8.7265625" customWidth="1" style="662" min="5633" max="5644"/>
    <col width="11.1796875" customWidth="1" style="662" min="5645" max="5645"/>
    <col width="9.1796875" customWidth="1" style="662" min="5646" max="5888"/>
    <col width="8.7265625" customWidth="1" style="662" min="5889" max="5900"/>
    <col width="11.1796875" customWidth="1" style="662" min="5901" max="5901"/>
    <col width="9.1796875" customWidth="1" style="662" min="5902" max="6144"/>
    <col width="8.7265625" customWidth="1" style="662" min="6145" max="6156"/>
    <col width="11.1796875" customWidth="1" style="662" min="6157" max="6157"/>
    <col width="9.1796875" customWidth="1" style="662" min="6158" max="6400"/>
    <col width="8.7265625" customWidth="1" style="662" min="6401" max="6412"/>
    <col width="11.1796875" customWidth="1" style="662" min="6413" max="6413"/>
    <col width="9.1796875" customWidth="1" style="662" min="6414" max="6656"/>
    <col width="8.7265625" customWidth="1" style="662" min="6657" max="6668"/>
    <col width="11.1796875" customWidth="1" style="662" min="6669" max="6669"/>
    <col width="9.1796875" customWidth="1" style="662" min="6670" max="6912"/>
    <col width="8.7265625" customWidth="1" style="662" min="6913" max="6924"/>
    <col width="11.1796875" customWidth="1" style="662" min="6925" max="6925"/>
    <col width="9.1796875" customWidth="1" style="662" min="6926" max="7168"/>
    <col width="8.7265625" customWidth="1" style="662" min="7169" max="7180"/>
    <col width="11.1796875" customWidth="1" style="662" min="7181" max="7181"/>
    <col width="9.1796875" customWidth="1" style="662" min="7182" max="7424"/>
    <col width="8.7265625" customWidth="1" style="662" min="7425" max="7436"/>
    <col width="11.1796875" customWidth="1" style="662" min="7437" max="7437"/>
    <col width="9.1796875" customWidth="1" style="662" min="7438" max="7680"/>
    <col width="8.7265625" customWidth="1" style="662" min="7681" max="7692"/>
    <col width="11.1796875" customWidth="1" style="662" min="7693" max="7693"/>
    <col width="9.1796875" customWidth="1" style="662" min="7694" max="7936"/>
    <col width="8.7265625" customWidth="1" style="662" min="7937" max="7948"/>
    <col width="11.1796875" customWidth="1" style="662" min="7949" max="7949"/>
    <col width="9.1796875" customWidth="1" style="662" min="7950" max="8192"/>
    <col width="8.7265625" customWidth="1" style="662" min="8193" max="8204"/>
    <col width="11.1796875" customWidth="1" style="662" min="8205" max="8205"/>
    <col width="9.1796875" customWidth="1" style="662" min="8206" max="8448"/>
    <col width="8.7265625" customWidth="1" style="662" min="8449" max="8460"/>
    <col width="11.1796875" customWidth="1" style="662" min="8461" max="8461"/>
    <col width="9.1796875" customWidth="1" style="662" min="8462" max="8704"/>
    <col width="8.7265625" customWidth="1" style="662" min="8705" max="8716"/>
    <col width="11.1796875" customWidth="1" style="662" min="8717" max="8717"/>
    <col width="9.1796875" customWidth="1" style="662" min="8718" max="8960"/>
    <col width="8.7265625" customWidth="1" style="662" min="8961" max="8972"/>
    <col width="11.1796875" customWidth="1" style="662" min="8973" max="8973"/>
    <col width="9.1796875" customWidth="1" style="662" min="8974" max="9216"/>
    <col width="8.7265625" customWidth="1" style="662" min="9217" max="9228"/>
    <col width="11.1796875" customWidth="1" style="662" min="9229" max="9229"/>
    <col width="9.1796875" customWidth="1" style="662" min="9230" max="9472"/>
    <col width="8.7265625" customWidth="1" style="662" min="9473" max="9484"/>
    <col width="11.1796875" customWidth="1" style="662" min="9485" max="9485"/>
    <col width="9.1796875" customWidth="1" style="662" min="9486" max="9728"/>
    <col width="8.7265625" customWidth="1" style="662" min="9729" max="9740"/>
    <col width="11.1796875" customWidth="1" style="662" min="9741" max="9741"/>
    <col width="9.1796875" customWidth="1" style="662" min="9742" max="9984"/>
    <col width="8.7265625" customWidth="1" style="662" min="9985" max="9996"/>
    <col width="11.1796875" customWidth="1" style="662" min="9997" max="9997"/>
    <col width="9.1796875" customWidth="1" style="662" min="9998" max="10240"/>
    <col width="8.7265625" customWidth="1" style="662" min="10241" max="10252"/>
    <col width="11.1796875" customWidth="1" style="662" min="10253" max="10253"/>
    <col width="9.1796875" customWidth="1" style="662" min="10254" max="10496"/>
    <col width="8.7265625" customWidth="1" style="662" min="10497" max="10508"/>
    <col width="11.1796875" customWidth="1" style="662" min="10509" max="10509"/>
    <col width="9.1796875" customWidth="1" style="662" min="10510" max="10752"/>
    <col width="8.7265625" customWidth="1" style="662" min="10753" max="10764"/>
    <col width="11.1796875" customWidth="1" style="662" min="10765" max="10765"/>
    <col width="9.1796875" customWidth="1" style="662" min="10766" max="11008"/>
    <col width="8.7265625" customWidth="1" style="662" min="11009" max="11020"/>
    <col width="11.1796875" customWidth="1" style="662" min="11021" max="11021"/>
    <col width="9.1796875" customWidth="1" style="662" min="11022" max="11264"/>
    <col width="8.7265625" customWidth="1" style="662" min="11265" max="11276"/>
    <col width="11.1796875" customWidth="1" style="662" min="11277" max="11277"/>
    <col width="9.1796875" customWidth="1" style="662" min="11278" max="11520"/>
    <col width="8.7265625" customWidth="1" style="662" min="11521" max="11532"/>
    <col width="11.1796875" customWidth="1" style="662" min="11533" max="11533"/>
    <col width="9.1796875" customWidth="1" style="662" min="11534" max="11776"/>
    <col width="8.7265625" customWidth="1" style="662" min="11777" max="11788"/>
    <col width="11.1796875" customWidth="1" style="662" min="11789" max="11789"/>
    <col width="9.1796875" customWidth="1" style="662" min="11790" max="12032"/>
    <col width="8.7265625" customWidth="1" style="662" min="12033" max="12044"/>
    <col width="11.1796875" customWidth="1" style="662" min="12045" max="12045"/>
    <col width="9.1796875" customWidth="1" style="662" min="12046" max="12288"/>
    <col width="8.7265625" customWidth="1" style="662" min="12289" max="12300"/>
    <col width="11.1796875" customWidth="1" style="662" min="12301" max="12301"/>
    <col width="9.1796875" customWidth="1" style="662" min="12302" max="12544"/>
    <col width="8.7265625" customWidth="1" style="662" min="12545" max="12556"/>
    <col width="11.1796875" customWidth="1" style="662" min="12557" max="12557"/>
    <col width="9.1796875" customWidth="1" style="662" min="12558" max="12800"/>
    <col width="8.7265625" customWidth="1" style="662" min="12801" max="12812"/>
    <col width="11.1796875" customWidth="1" style="662" min="12813" max="12813"/>
    <col width="9.1796875" customWidth="1" style="662" min="12814" max="13056"/>
    <col width="8.7265625" customWidth="1" style="662" min="13057" max="13068"/>
    <col width="11.1796875" customWidth="1" style="662" min="13069" max="13069"/>
    <col width="9.1796875" customWidth="1" style="662" min="13070" max="13312"/>
    <col width="8.7265625" customWidth="1" style="662" min="13313" max="13324"/>
    <col width="11.1796875" customWidth="1" style="662" min="13325" max="13325"/>
    <col width="9.1796875" customWidth="1" style="662" min="13326" max="13568"/>
    <col width="8.7265625" customWidth="1" style="662" min="13569" max="13580"/>
    <col width="11.1796875" customWidth="1" style="662" min="13581" max="13581"/>
    <col width="9.1796875" customWidth="1" style="662" min="13582" max="13824"/>
    <col width="8.7265625" customWidth="1" style="662" min="13825" max="13836"/>
    <col width="11.1796875" customWidth="1" style="662" min="13837" max="13837"/>
    <col width="9.1796875" customWidth="1" style="662" min="13838" max="14080"/>
    <col width="8.7265625" customWidth="1" style="662" min="14081" max="14092"/>
    <col width="11.1796875" customWidth="1" style="662" min="14093" max="14093"/>
    <col width="9.1796875" customWidth="1" style="662" min="14094" max="14336"/>
    <col width="8.7265625" customWidth="1" style="662" min="14337" max="14348"/>
    <col width="11.1796875" customWidth="1" style="662" min="14349" max="14349"/>
    <col width="9.1796875" customWidth="1" style="662" min="14350" max="14592"/>
    <col width="8.7265625" customWidth="1" style="662" min="14593" max="14604"/>
    <col width="11.1796875" customWidth="1" style="662" min="14605" max="14605"/>
    <col width="9.1796875" customWidth="1" style="662" min="14606" max="14848"/>
    <col width="8.7265625" customWidth="1" style="662" min="14849" max="14860"/>
    <col width="11.1796875" customWidth="1" style="662" min="14861" max="14861"/>
    <col width="9.1796875" customWidth="1" style="662" min="14862" max="15104"/>
    <col width="8.7265625" customWidth="1" style="662" min="15105" max="15116"/>
    <col width="11.1796875" customWidth="1" style="662" min="15117" max="15117"/>
    <col width="9.1796875" customWidth="1" style="662" min="15118" max="15360"/>
    <col width="8.7265625" customWidth="1" style="662" min="15361" max="15372"/>
    <col width="11.1796875" customWidth="1" style="662" min="15373" max="15373"/>
    <col width="9.1796875" customWidth="1" style="662" min="15374" max="15616"/>
    <col width="8.7265625" customWidth="1" style="662" min="15617" max="15628"/>
    <col width="11.1796875" customWidth="1" style="662" min="15629" max="15629"/>
    <col width="9.1796875" customWidth="1" style="662" min="15630" max="15872"/>
    <col width="8.7265625" customWidth="1" style="662" min="15873" max="15884"/>
    <col width="11.1796875" customWidth="1" style="662" min="15885" max="15885"/>
    <col width="9.1796875" customWidth="1" style="662" min="15886" max="16128"/>
    <col width="8.7265625" customWidth="1" style="662" min="16129" max="16140"/>
    <col width="11.1796875" customWidth="1" style="662" min="16141" max="16141"/>
    <col width="9.1796875" customWidth="1" style="662" min="16142" max="16384"/>
  </cols>
  <sheetData>
    <row r="1" ht="50.25" customHeight="1">
      <c r="A1" s="916" t="inlineStr">
        <is>
          <t>MPCI</t>
        </is>
      </c>
      <c r="B1" s="714" t="inlineStr">
        <is>
          <t>FEEDER LOG</t>
        </is>
      </c>
      <c r="C1" s="437" t="n"/>
      <c r="D1" s="437" t="n"/>
      <c r="E1" s="630" t="inlineStr">
        <is>
          <t>DOC:        FRM-104</t>
        </is>
      </c>
      <c r="F1" s="558" t="inlineStr">
        <is>
          <t>REVISION LEVEL: 011</t>
        </is>
      </c>
      <c r="G1" s="856" t="n"/>
      <c r="H1" s="856" t="n"/>
      <c r="I1" s="857" t="n"/>
      <c r="J1" s="560" t="inlineStr">
        <is>
          <t>ISSUE DATE: 9/30/19</t>
        </is>
      </c>
      <c r="K1" s="856" t="n"/>
      <c r="L1" s="857" t="n"/>
      <c r="M1" s="179" t="n"/>
      <c r="T1" s="46" t="n"/>
      <c r="U1" s="46" t="n"/>
      <c r="V1" s="46" t="n"/>
      <c r="W1" s="46" t="n"/>
      <c r="X1" s="46" t="n"/>
      <c r="Y1" s="46" t="n"/>
      <c r="Z1" s="46" t="n"/>
      <c r="AA1" s="46" t="n"/>
      <c r="AB1" s="46" t="n"/>
      <c r="AC1" s="46" t="n"/>
      <c r="AD1" s="46" t="n"/>
      <c r="AE1" s="46" t="n"/>
      <c r="AF1" s="46" t="n"/>
      <c r="AG1" s="46" t="n"/>
      <c r="AH1" s="46" t="n"/>
      <c r="AI1" s="46" t="n"/>
      <c r="AJ1" s="46" t="n"/>
      <c r="AK1" s="46" t="n"/>
      <c r="AL1" s="46" t="n"/>
      <c r="AM1" s="46" t="n"/>
      <c r="AN1" s="46" t="n"/>
      <c r="AO1" s="46" t="n"/>
      <c r="AP1" s="46" t="n"/>
      <c r="AQ1" s="46" t="n"/>
      <c r="AR1" s="46" t="n"/>
      <c r="AS1" s="46" t="n"/>
      <c r="AT1" s="46" t="n"/>
      <c r="AU1" s="46" t="n"/>
      <c r="AV1" s="46" t="n"/>
      <c r="AW1" s="46" t="n"/>
      <c r="AX1" s="46" t="n"/>
      <c r="AY1" s="46" t="n"/>
      <c r="AZ1" s="46" t="n"/>
      <c r="BA1" s="46" t="n"/>
      <c r="BB1" s="46" t="n"/>
      <c r="BC1" s="46" t="n"/>
      <c r="BD1" s="46" t="n"/>
      <c r="BE1" s="46" t="n"/>
      <c r="BF1" s="46" t="n"/>
      <c r="BG1" s="46" t="n"/>
      <c r="BH1" s="46" t="n"/>
      <c r="BI1" s="46" t="n"/>
      <c r="BJ1" s="46" t="n"/>
      <c r="BK1" s="46" t="n"/>
      <c r="BL1" s="46" t="n"/>
      <c r="BM1" s="46" t="n"/>
      <c r="BN1" s="46" t="n"/>
      <c r="BO1" s="46" t="n"/>
      <c r="BP1" s="46" t="n"/>
      <c r="BR1" s="46" t="n"/>
      <c r="BS1" s="46" t="n"/>
      <c r="BT1" s="46" t="n"/>
      <c r="BU1" s="46" t="n"/>
      <c r="BV1" s="46" t="n"/>
      <c r="BW1" s="46" t="n"/>
      <c r="BX1" s="46" t="n"/>
      <c r="BY1" s="46" t="n"/>
      <c r="BZ1" s="46" t="n"/>
      <c r="CA1" s="46" t="n"/>
      <c r="CB1" s="46" t="n"/>
      <c r="CC1" s="46" t="n"/>
      <c r="CD1" s="46" t="n"/>
      <c r="CE1" s="46" t="n"/>
    </row>
    <row r="2" ht="30" customHeight="1">
      <c r="A2" s="846" t="n"/>
      <c r="B2" s="917" t="inlineStr">
        <is>
          <t>Form Reviewed by: Quality Coordinator</t>
        </is>
      </c>
      <c r="C2" s="856" t="n"/>
      <c r="D2" s="857" t="n"/>
      <c r="E2" s="558" t="inlineStr">
        <is>
          <t>Form Approved by: Site Manager</t>
        </is>
      </c>
      <c r="F2" s="857" t="n"/>
      <c r="G2" s="558" t="inlineStr">
        <is>
          <t>Reference:  Feeder Operation PRO-010;                                           Process Step # 4 "Feeding"</t>
        </is>
      </c>
      <c r="H2" s="856" t="n"/>
      <c r="I2" s="856" t="n"/>
      <c r="J2" s="856" t="n"/>
      <c r="K2" s="856" t="n"/>
      <c r="L2" s="857" t="n"/>
      <c r="M2" s="179" t="n"/>
      <c r="N2" s="258" t="n"/>
      <c r="O2" s="258" t="n"/>
      <c r="T2" s="46" t="n"/>
      <c r="U2" s="46" t="n"/>
      <c r="V2" s="46" t="n"/>
      <c r="W2" s="46" t="n"/>
      <c r="X2" s="46" t="n"/>
      <c r="Y2" s="46" t="n"/>
      <c r="Z2" s="46" t="n"/>
      <c r="AA2" s="46" t="n"/>
      <c r="AB2" s="46" t="n"/>
      <c r="AC2" s="46" t="n"/>
      <c r="AD2" s="46" t="n"/>
      <c r="AE2" s="46" t="n"/>
      <c r="AF2" s="46" t="n"/>
      <c r="AG2" s="46" t="n"/>
      <c r="AH2" s="46" t="n"/>
      <c r="AI2" s="46" t="n"/>
      <c r="AJ2" s="46" t="n"/>
      <c r="AK2" s="46" t="n"/>
      <c r="AL2" s="46" t="n"/>
      <c r="AM2" s="46" t="n"/>
      <c r="AN2" s="46" t="n"/>
      <c r="AO2" s="46" t="n"/>
      <c r="AP2" s="46" t="n"/>
      <c r="AQ2" s="46" t="n"/>
      <c r="AR2" s="46" t="n"/>
      <c r="AS2" s="46" t="n"/>
      <c r="AT2" s="46" t="n"/>
      <c r="AU2" s="46" t="n"/>
      <c r="AV2" s="46" t="n"/>
      <c r="AW2" s="46" t="n"/>
      <c r="AX2" s="46" t="n"/>
      <c r="AY2" s="46" t="n"/>
      <c r="AZ2" s="46" t="n"/>
      <c r="BA2" s="46" t="n"/>
      <c r="BB2" s="46" t="n"/>
      <c r="BC2" s="46" t="n"/>
      <c r="BD2" s="46" t="n"/>
      <c r="BE2" s="46" t="n"/>
      <c r="BF2" s="46" t="n"/>
      <c r="BG2" s="46" t="n"/>
      <c r="BH2" s="46" t="n"/>
      <c r="BI2" s="46" t="n"/>
      <c r="BJ2" s="46" t="n"/>
      <c r="BK2" s="46" t="n"/>
      <c r="BL2" s="46" t="n"/>
      <c r="BM2" s="46" t="n"/>
      <c r="BN2" s="46" t="n"/>
      <c r="BO2" s="46" t="n"/>
      <c r="BP2" s="46" t="n"/>
      <c r="BR2" s="47" t="n"/>
      <c r="BS2" s="47" t="n"/>
      <c r="BT2" s="47" t="n"/>
      <c r="BU2" s="47" t="n"/>
      <c r="BV2" s="47" t="n"/>
      <c r="BW2" s="47" t="n"/>
      <c r="BX2" s="47" t="n"/>
      <c r="BY2" s="47" t="n"/>
      <c r="BZ2" s="47" t="n"/>
      <c r="CA2" s="47" t="n"/>
      <c r="CB2" s="47" t="n"/>
      <c r="CC2" s="47" t="n"/>
      <c r="CD2" s="47" t="n"/>
      <c r="CE2" s="47" t="n"/>
    </row>
    <row r="3" ht="7.5" customHeight="1">
      <c r="J3" s="653" t="n"/>
      <c r="K3" s="653" t="n"/>
      <c r="L3" s="653" t="n"/>
    </row>
    <row r="4" ht="24" customFormat="1" customHeight="1" s="248">
      <c r="A4" s="918" t="inlineStr">
        <is>
          <t>RAW MATERIAL:</t>
        </is>
      </c>
      <c r="B4" s="857" t="n"/>
      <c r="C4" s="743">
        <f>PACKET!G5</f>
        <v/>
      </c>
      <c r="D4" s="856" t="n"/>
      <c r="E4" s="856" t="n"/>
      <c r="F4" s="856" t="n"/>
      <c r="G4" s="856" t="n"/>
      <c r="H4" s="919" t="inlineStr">
        <is>
          <t>JOB NUMBER:</t>
        </is>
      </c>
      <c r="I4" s="857" t="n"/>
      <c r="J4" s="920">
        <f>PACKET!C27</f>
        <v/>
      </c>
      <c r="K4" s="856" t="n"/>
      <c r="L4" s="857" t="n"/>
    </row>
    <row r="5" ht="26.25" customFormat="1" customHeight="1" s="248">
      <c r="A5" s="918" t="inlineStr">
        <is>
          <t>LINE NUMBER:</t>
        </is>
      </c>
      <c r="B5" s="857" t="n"/>
      <c r="C5" s="259">
        <f>PACKET!C26</f>
        <v/>
      </c>
      <c r="D5" s="918" t="inlineStr">
        <is>
          <t>FEEDER NUMBER:</t>
        </is>
      </c>
      <c r="E5" s="857" t="n"/>
      <c r="F5" s="920" t="inlineStr">
        <is>
          <t>ONE</t>
        </is>
      </c>
      <c r="G5" s="857" t="n"/>
      <c r="H5" s="919" t="inlineStr">
        <is>
          <t>T.L. APPROVAL:</t>
        </is>
      </c>
      <c r="I5" s="857" t="n"/>
      <c r="J5" s="259">
        <f>PACKET!C5</f>
        <v/>
      </c>
      <c r="K5" s="856" t="n"/>
      <c r="L5" s="857" t="n"/>
    </row>
    <row r="6" ht="9.75" customFormat="1" customHeight="1" s="248">
      <c r="A6" s="260" t="n"/>
      <c r="B6" s="260" t="n"/>
      <c r="C6" s="261" t="n"/>
      <c r="D6" s="260" t="n"/>
      <c r="E6" s="260" t="n"/>
      <c r="F6" s="262" t="n"/>
      <c r="G6" s="170" t="n"/>
      <c r="H6" s="169" t="n"/>
      <c r="I6" s="169" t="n"/>
      <c r="J6" s="263" t="n"/>
      <c r="K6" s="263" t="n"/>
      <c r="L6" s="263" t="n"/>
    </row>
    <row r="7" ht="24" customFormat="1" customHeight="1" s="248">
      <c r="A7" s="263" t="n"/>
      <c r="B7" s="264" t="n"/>
      <c r="C7" s="264" t="n"/>
      <c r="D7" s="263" t="n"/>
      <c r="E7" s="263" t="n"/>
      <c r="F7" s="263" t="n"/>
      <c r="G7" s="263" t="n"/>
      <c r="H7" s="263" t="n"/>
      <c r="I7" s="263" t="n"/>
      <c r="J7" s="264" t="n"/>
      <c r="K7" s="264" t="n"/>
      <c r="L7" s="264" t="n"/>
    </row>
    <row r="8" ht="15" customFormat="1" customHeight="1" s="248">
      <c r="A8" s="720" t="inlineStr">
        <is>
          <t>BOX, CRATE, SS, AND BOWL MATERIAL</t>
        </is>
      </c>
      <c r="B8" s="856" t="n"/>
      <c r="C8" s="856" t="n"/>
      <c r="D8" s="856" t="n"/>
      <c r="E8" s="856" t="n"/>
      <c r="F8" s="921" t="inlineStr">
        <is>
          <t>RAILCAR MATERIAL</t>
        </is>
      </c>
      <c r="G8" s="856" t="n"/>
      <c r="H8" s="856" t="n"/>
      <c r="I8" s="856" t="n"/>
      <c r="J8" s="856" t="n"/>
      <c r="K8" s="856" t="n"/>
      <c r="L8" s="857" t="n"/>
    </row>
    <row r="9" ht="15" customFormat="1" customHeight="1" s="248">
      <c r="A9" s="922" t="inlineStr">
        <is>
          <t xml:space="preserve">Throughout job, from beginning to end; record Team, Date, R #  for every Receiver of material loaded. Load material in FIFO order. When consuming multiple packages of the same receiver, only one entry is required per shift.  For Blends record every bowl number loaded. No 2nd check is necessary. </t>
        </is>
      </c>
      <c r="B9" s="437" t="n"/>
      <c r="C9" s="437" t="n"/>
      <c r="D9" s="437" t="n"/>
      <c r="E9" s="859" t="n"/>
      <c r="F9" s="923" t="inlineStr">
        <is>
          <t>When using material out of a railcar, use the Event Log to track the railcar usage. Record all other material usage on this form.</t>
        </is>
      </c>
      <c r="G9" s="437" t="n"/>
      <c r="H9" s="437" t="n"/>
      <c r="I9" s="437" t="n"/>
      <c r="J9" s="437" t="n"/>
      <c r="K9" s="437" t="n"/>
      <c r="L9" s="859" t="n"/>
    </row>
    <row r="10" ht="15" customFormat="1" customHeight="1" s="248">
      <c r="A10" s="854" t="n"/>
      <c r="E10" s="528" t="n"/>
      <c r="F10" s="474" t="n"/>
      <c r="G10" s="441" t="n"/>
      <c r="H10" s="441" t="n"/>
      <c r="I10" s="441" t="n"/>
      <c r="J10" s="441" t="n"/>
      <c r="K10" s="441" t="n"/>
      <c r="L10" s="442" t="n"/>
    </row>
    <row r="11" ht="15" customFormat="1" customHeight="1" s="248">
      <c r="A11" s="474" t="n"/>
      <c r="B11" s="441" t="n"/>
      <c r="C11" s="441" t="n"/>
      <c r="D11" s="441" t="n"/>
      <c r="E11" s="442" t="n"/>
      <c r="F11" s="923" t="inlineStr">
        <is>
          <t>At start of job; record  Car #, Comp, and R #. On the Event Log  .  The 2nd check will be completed on the Changeover Checklist.</t>
        </is>
      </c>
      <c r="G11" s="437" t="n"/>
      <c r="H11" s="437" t="n"/>
      <c r="I11" s="437" t="n"/>
      <c r="J11" s="437" t="n"/>
      <c r="K11" s="437" t="n"/>
      <c r="L11" s="859" t="n"/>
    </row>
    <row r="12" ht="15" customFormat="1" customHeight="1" s="248">
      <c r="A12" s="924" t="inlineStr">
        <is>
          <t>MISCELLANEOUS</t>
        </is>
      </c>
      <c r="B12" s="856" t="n"/>
      <c r="C12" s="856" t="n"/>
      <c r="D12" s="856" t="n"/>
      <c r="E12" s="857" t="n"/>
      <c r="F12" s="474" t="n"/>
      <c r="G12" s="441" t="n"/>
      <c r="H12" s="441" t="n"/>
      <c r="I12" s="441" t="n"/>
      <c r="J12" s="441" t="n"/>
      <c r="K12" s="441" t="n"/>
      <c r="L12" s="442" t="n"/>
    </row>
    <row r="13" ht="15" customFormat="1" customHeight="1" s="248">
      <c r="A13" s="925" t="inlineStr">
        <is>
          <t>Contact Supervision if another Feeder Log is needed!</t>
        </is>
      </c>
      <c r="B13" s="437" t="n"/>
      <c r="C13" s="437" t="n"/>
      <c r="D13" s="437" t="n"/>
      <c r="E13" s="859" t="n"/>
      <c r="F13" s="923" t="inlineStr">
        <is>
          <t>During the job; at the start of each shift, double-check that the correct railcar is being used. Ensure that the correct information of Car #, Comp and R # is recorded on the Event Log.  This must be completed within the first 60 minutes of taking the floor.</t>
        </is>
      </c>
      <c r="G13" s="437" t="n"/>
      <c r="H13" s="437" t="n"/>
      <c r="I13" s="437" t="n"/>
      <c r="J13" s="437" t="n"/>
      <c r="K13" s="437" t="n"/>
      <c r="L13" s="859" t="n"/>
    </row>
    <row r="14" ht="15" customFormat="1" customHeight="1" s="248">
      <c r="A14" s="474" t="n"/>
      <c r="B14" s="441" t="n"/>
      <c r="C14" s="441" t="n"/>
      <c r="D14" s="441" t="n"/>
      <c r="E14" s="442" t="n"/>
      <c r="F14" s="854" t="n"/>
      <c r="L14" s="528" t="n"/>
    </row>
    <row r="15" ht="15" customFormat="1" customHeight="1" s="248">
      <c r="A15" s="926" t="inlineStr">
        <is>
          <t xml:space="preserve">Remember                                                                           That all Mezzanine material loaded                                              must match each individual feeder log                                             Feeder # 8,                                                                        Notify labs (QC and Color) when changing out blends during a production run </t>
        </is>
      </c>
      <c r="B15" s="437" t="n"/>
      <c r="C15" s="437" t="n"/>
      <c r="D15" s="437" t="n"/>
      <c r="E15" s="859" t="n"/>
      <c r="F15" s="474" t="n"/>
      <c r="G15" s="441" t="n"/>
      <c r="H15" s="441" t="n"/>
      <c r="I15" s="441" t="n"/>
      <c r="J15" s="441" t="n"/>
      <c r="K15" s="441" t="n"/>
      <c r="L15" s="442" t="n"/>
    </row>
    <row r="16" ht="15" customFormat="1" customHeight="1" s="248">
      <c r="A16" s="854" t="n"/>
      <c r="E16" s="528" t="n"/>
      <c r="F16" s="927" t="inlineStr">
        <is>
          <t>During the job; after switching a compartment or railcar, record Car #, Comp.,R #, totalizer value for that feeder and time of the new compartment or railcar on the Event Log.  Have another employee double-check that the switch is correct.  That employee is to initial in the Double Check column.  This must be completed within 60 minutes of the switch.</t>
        </is>
      </c>
      <c r="G16" s="437" t="n"/>
      <c r="H16" s="437" t="n"/>
      <c r="I16" s="437" t="n"/>
      <c r="J16" s="437" t="n"/>
      <c r="K16" s="437" t="n"/>
      <c r="L16" s="859" t="n"/>
    </row>
    <row r="17" ht="15" customFormat="1" customHeight="1" s="248">
      <c r="A17" s="854" t="n"/>
      <c r="E17" s="528" t="n"/>
      <c r="F17" s="854" t="n"/>
      <c r="L17" s="528" t="n"/>
    </row>
    <row r="18" ht="27.75" customFormat="1" customHeight="1" s="248">
      <c r="A18" s="474" t="n"/>
      <c r="B18" s="441" t="n"/>
      <c r="C18" s="441" t="n"/>
      <c r="D18" s="441" t="n"/>
      <c r="E18" s="442" t="n"/>
      <c r="F18" s="854" t="n"/>
      <c r="L18" s="528" t="n"/>
    </row>
    <row r="19" ht="30" customFormat="1" customHeight="1" s="248">
      <c r="A19" s="265" t="inlineStr">
        <is>
          <t>Staged Receiver Numbers for the Job</t>
        </is>
      </c>
      <c r="B19" s="266" t="n"/>
      <c r="C19" s="266" t="n"/>
      <c r="D19" s="266" t="n"/>
      <c r="E19" s="267" t="n"/>
      <c r="F19" s="267" t="n"/>
      <c r="G19" s="585" t="inlineStr">
        <is>
          <t>Type:     Box/Crate          R/C            Blend        Supersack</t>
        </is>
      </c>
      <c r="H19" s="267" t="n"/>
      <c r="I19" s="267" t="n"/>
      <c r="J19" s="267" t="n"/>
      <c r="K19" s="267" t="n"/>
      <c r="L19" s="586" t="n"/>
    </row>
    <row r="20">
      <c r="A20" s="928" t="n"/>
      <c r="B20" s="859" t="n"/>
      <c r="C20" s="928" t="n"/>
      <c r="D20" s="859" t="n"/>
      <c r="E20" s="929" t="n"/>
      <c r="F20" s="437" t="n"/>
      <c r="G20" s="930" t="n"/>
      <c r="H20" s="528" t="n"/>
      <c r="I20" s="931" t="n"/>
      <c r="J20" s="528" t="n"/>
      <c r="K20" s="931" t="n"/>
      <c r="L20" s="528" t="n"/>
    </row>
    <row r="21">
      <c r="A21" s="474" t="n"/>
      <c r="B21" s="442" t="n"/>
      <c r="C21" s="474" t="n"/>
      <c r="D21" s="442" t="n"/>
      <c r="E21" s="474" t="n"/>
      <c r="F21" s="441" t="n"/>
      <c r="G21" s="932" t="n"/>
      <c r="H21" s="442" t="n"/>
      <c r="I21" s="474" t="n"/>
      <c r="J21" s="442" t="n"/>
      <c r="K21" s="474" t="n"/>
      <c r="L21" s="442" t="n"/>
    </row>
    <row r="22" ht="0.75" customHeight="1">
      <c r="A22" s="928" t="inlineStr">
        <is>
          <t xml:space="preserve"> </t>
        </is>
      </c>
      <c r="B22" s="859" t="n"/>
      <c r="C22" s="928" t="inlineStr">
        <is>
          <t xml:space="preserve"> </t>
        </is>
      </c>
      <c r="D22" s="859" t="n"/>
      <c r="E22" s="929" t="inlineStr">
        <is>
          <t xml:space="preserve"> </t>
        </is>
      </c>
      <c r="F22" s="437" t="n"/>
      <c r="G22" s="933" t="inlineStr">
        <is>
          <t xml:space="preserve"> </t>
        </is>
      </c>
      <c r="H22" s="859" t="n"/>
      <c r="I22" s="928" t="inlineStr">
        <is>
          <t xml:space="preserve"> </t>
        </is>
      </c>
      <c r="J22" s="859" t="n"/>
      <c r="K22" s="928" t="inlineStr">
        <is>
          <t xml:space="preserve"> </t>
        </is>
      </c>
      <c r="L22" s="859" t="n"/>
    </row>
    <row r="23" hidden="1">
      <c r="A23" s="474" t="n"/>
      <c r="B23" s="442" t="n"/>
      <c r="C23" s="474" t="n"/>
      <c r="D23" s="442" t="n"/>
      <c r="E23" s="474" t="n"/>
      <c r="F23" s="441" t="n"/>
      <c r="G23" s="932" t="n"/>
      <c r="H23" s="442" t="n"/>
      <c r="I23" s="474" t="n"/>
      <c r="J23" s="442" t="n"/>
      <c r="K23" s="474" t="n"/>
      <c r="L23" s="442" t="n"/>
    </row>
    <row r="24" ht="12.75" customHeight="1">
      <c r="A24" s="934" t="inlineStr">
        <is>
          <t>Team / Date</t>
        </is>
      </c>
      <c r="B24" s="859" t="n"/>
      <c r="C24" s="935" t="inlineStr">
        <is>
          <t>Time/initials</t>
        </is>
      </c>
      <c r="D24" s="859" t="n"/>
      <c r="E24" s="936" t="inlineStr">
        <is>
          <t>R# / Bowl #</t>
        </is>
      </c>
      <c r="F24" s="859" t="n"/>
      <c r="G24" s="934" t="inlineStr">
        <is>
          <t>Team / Date</t>
        </is>
      </c>
      <c r="H24" s="859" t="n"/>
      <c r="I24" s="935" t="inlineStr">
        <is>
          <t>Time/initials</t>
        </is>
      </c>
      <c r="J24" s="859" t="n"/>
      <c r="K24" s="936" t="inlineStr">
        <is>
          <t>R# / Bowl #</t>
        </is>
      </c>
      <c r="L24" s="859" t="n"/>
    </row>
    <row r="25" ht="12.75" customHeight="1">
      <c r="A25" s="932" t="n"/>
      <c r="B25" s="442" t="n"/>
      <c r="C25" s="474" t="n"/>
      <c r="D25" s="442" t="n"/>
      <c r="E25" s="474" t="n"/>
      <c r="F25" s="442" t="n"/>
      <c r="G25" s="932" t="n"/>
      <c r="H25" s="442" t="n"/>
      <c r="I25" s="474" t="n"/>
      <c r="J25" s="442" t="n"/>
      <c r="K25" s="474" t="n"/>
      <c r="L25" s="442" t="n"/>
    </row>
    <row r="26">
      <c r="A26" s="928" t="inlineStr">
        <is>
          <t xml:space="preserve"> </t>
        </is>
      </c>
      <c r="B26" s="859" t="n"/>
      <c r="C26" s="928" t="inlineStr">
        <is>
          <t xml:space="preserve"> </t>
        </is>
      </c>
      <c r="D26" s="859" t="n"/>
      <c r="E26" s="929" t="inlineStr">
        <is>
          <t xml:space="preserve"> </t>
        </is>
      </c>
      <c r="F26" s="437" t="n"/>
      <c r="G26" s="933" t="inlineStr">
        <is>
          <t xml:space="preserve"> </t>
        </is>
      </c>
      <c r="H26" s="859" t="n"/>
      <c r="I26" s="928" t="inlineStr">
        <is>
          <t xml:space="preserve"> </t>
        </is>
      </c>
      <c r="J26" s="859" t="n"/>
      <c r="K26" s="928" t="inlineStr">
        <is>
          <t xml:space="preserve"> </t>
        </is>
      </c>
      <c r="L26" s="859" t="n"/>
    </row>
    <row r="27">
      <c r="A27" s="474" t="n"/>
      <c r="B27" s="442" t="n"/>
      <c r="C27" s="474" t="n"/>
      <c r="D27" s="442" t="n"/>
      <c r="E27" s="474" t="n"/>
      <c r="F27" s="441" t="n"/>
      <c r="G27" s="932" t="n"/>
      <c r="H27" s="442" t="n"/>
      <c r="I27" s="474" t="n"/>
      <c r="J27" s="442" t="n"/>
      <c r="K27" s="474" t="n"/>
      <c r="L27" s="442" t="n"/>
    </row>
    <row r="28">
      <c r="A28" s="928" t="inlineStr">
        <is>
          <t xml:space="preserve"> </t>
        </is>
      </c>
      <c r="B28" s="859" t="n"/>
      <c r="C28" s="928" t="inlineStr">
        <is>
          <t xml:space="preserve"> </t>
        </is>
      </c>
      <c r="D28" s="859" t="n"/>
      <c r="E28" s="929" t="inlineStr">
        <is>
          <t xml:space="preserve"> </t>
        </is>
      </c>
      <c r="F28" s="437" t="n"/>
      <c r="G28" s="933" t="inlineStr">
        <is>
          <t xml:space="preserve"> </t>
        </is>
      </c>
      <c r="H28" s="859" t="n"/>
      <c r="I28" s="928" t="inlineStr">
        <is>
          <t xml:space="preserve"> </t>
        </is>
      </c>
      <c r="J28" s="859" t="n"/>
      <c r="K28" s="928" t="inlineStr">
        <is>
          <t xml:space="preserve"> </t>
        </is>
      </c>
      <c r="L28" s="859" t="n"/>
    </row>
    <row r="29">
      <c r="A29" s="474" t="n"/>
      <c r="B29" s="442" t="n"/>
      <c r="C29" s="474" t="n"/>
      <c r="D29" s="442" t="n"/>
      <c r="E29" s="474" t="n"/>
      <c r="F29" s="441" t="n"/>
      <c r="G29" s="932" t="n"/>
      <c r="H29" s="442" t="n"/>
      <c r="I29" s="474" t="n"/>
      <c r="J29" s="442" t="n"/>
      <c r="K29" s="474" t="n"/>
      <c r="L29" s="442" t="n"/>
    </row>
    <row r="30">
      <c r="A30" s="928" t="inlineStr">
        <is>
          <t xml:space="preserve"> </t>
        </is>
      </c>
      <c r="B30" s="859" t="n"/>
      <c r="C30" s="928" t="inlineStr">
        <is>
          <t xml:space="preserve"> </t>
        </is>
      </c>
      <c r="D30" s="859" t="n"/>
      <c r="E30" s="929" t="inlineStr">
        <is>
          <t xml:space="preserve"> </t>
        </is>
      </c>
      <c r="F30" s="437" t="n"/>
      <c r="G30" s="933" t="inlineStr">
        <is>
          <t xml:space="preserve"> </t>
        </is>
      </c>
      <c r="H30" s="859" t="n"/>
      <c r="I30" s="928" t="inlineStr">
        <is>
          <t xml:space="preserve"> </t>
        </is>
      </c>
      <c r="J30" s="859" t="n"/>
      <c r="K30" s="928" t="inlineStr">
        <is>
          <t xml:space="preserve"> </t>
        </is>
      </c>
      <c r="L30" s="859" t="n"/>
    </row>
    <row r="31">
      <c r="A31" s="474" t="n"/>
      <c r="B31" s="442" t="n"/>
      <c r="C31" s="474" t="n"/>
      <c r="D31" s="442" t="n"/>
      <c r="E31" s="474" t="n"/>
      <c r="F31" s="441" t="n"/>
      <c r="G31" s="932" t="n"/>
      <c r="H31" s="442" t="n"/>
      <c r="I31" s="474" t="n"/>
      <c r="J31" s="442" t="n"/>
      <c r="K31" s="474" t="n"/>
      <c r="L31" s="442" t="n"/>
    </row>
    <row r="32">
      <c r="A32" s="928" t="inlineStr">
        <is>
          <t xml:space="preserve"> </t>
        </is>
      </c>
      <c r="B32" s="859" t="n"/>
      <c r="C32" s="928" t="inlineStr">
        <is>
          <t xml:space="preserve"> </t>
        </is>
      </c>
      <c r="D32" s="859" t="n"/>
      <c r="E32" s="929" t="inlineStr">
        <is>
          <t xml:space="preserve"> </t>
        </is>
      </c>
      <c r="F32" s="437" t="n"/>
      <c r="G32" s="933" t="inlineStr">
        <is>
          <t xml:space="preserve"> </t>
        </is>
      </c>
      <c r="H32" s="859" t="n"/>
      <c r="I32" s="928" t="inlineStr">
        <is>
          <t xml:space="preserve"> </t>
        </is>
      </c>
      <c r="J32" s="859" t="n"/>
      <c r="K32" s="928" t="inlineStr">
        <is>
          <t xml:space="preserve"> </t>
        </is>
      </c>
      <c r="L32" s="859" t="n"/>
    </row>
    <row r="33">
      <c r="A33" s="474" t="n"/>
      <c r="B33" s="442" t="n"/>
      <c r="C33" s="474" t="n"/>
      <c r="D33" s="442" t="n"/>
      <c r="E33" s="474" t="n"/>
      <c r="F33" s="441" t="n"/>
      <c r="G33" s="932" t="n"/>
      <c r="H33" s="442" t="n"/>
      <c r="I33" s="474" t="n"/>
      <c r="J33" s="442" t="n"/>
      <c r="K33" s="474" t="n"/>
      <c r="L33" s="442" t="n"/>
    </row>
    <row r="34">
      <c r="A34" s="928" t="inlineStr">
        <is>
          <t xml:space="preserve"> </t>
        </is>
      </c>
      <c r="B34" s="859" t="n"/>
      <c r="C34" s="928" t="inlineStr">
        <is>
          <t xml:space="preserve"> </t>
        </is>
      </c>
      <c r="D34" s="859" t="n"/>
      <c r="E34" s="929" t="inlineStr">
        <is>
          <t xml:space="preserve"> </t>
        </is>
      </c>
      <c r="F34" s="437" t="n"/>
      <c r="G34" s="933" t="inlineStr">
        <is>
          <t xml:space="preserve"> </t>
        </is>
      </c>
      <c r="H34" s="859" t="n"/>
      <c r="I34" s="928" t="inlineStr">
        <is>
          <t xml:space="preserve"> </t>
        </is>
      </c>
      <c r="J34" s="859" t="n"/>
      <c r="K34" s="928" t="inlineStr">
        <is>
          <t xml:space="preserve"> </t>
        </is>
      </c>
      <c r="L34" s="859" t="n"/>
    </row>
    <row r="35">
      <c r="A35" s="474" t="n"/>
      <c r="B35" s="442" t="n"/>
      <c r="C35" s="474" t="n"/>
      <c r="D35" s="442" t="n"/>
      <c r="E35" s="474" t="n"/>
      <c r="F35" s="441" t="n"/>
      <c r="G35" s="932" t="n"/>
      <c r="H35" s="442" t="n"/>
      <c r="I35" s="474" t="n"/>
      <c r="J35" s="442" t="n"/>
      <c r="K35" s="474" t="n"/>
      <c r="L35" s="442" t="n"/>
    </row>
    <row r="36">
      <c r="A36" s="928" t="inlineStr">
        <is>
          <t xml:space="preserve"> </t>
        </is>
      </c>
      <c r="B36" s="859" t="n"/>
      <c r="C36" s="928" t="inlineStr">
        <is>
          <t xml:space="preserve"> </t>
        </is>
      </c>
      <c r="D36" s="859" t="n"/>
      <c r="E36" s="929" t="inlineStr">
        <is>
          <t xml:space="preserve"> </t>
        </is>
      </c>
      <c r="F36" s="437" t="n"/>
      <c r="G36" s="933" t="inlineStr">
        <is>
          <t xml:space="preserve"> </t>
        </is>
      </c>
      <c r="H36" s="859" t="n"/>
      <c r="I36" s="928" t="inlineStr">
        <is>
          <t xml:space="preserve"> </t>
        </is>
      </c>
      <c r="J36" s="859" t="n"/>
      <c r="K36" s="928" t="inlineStr">
        <is>
          <t xml:space="preserve"> </t>
        </is>
      </c>
      <c r="L36" s="859" t="n"/>
    </row>
    <row r="37">
      <c r="A37" s="474" t="n"/>
      <c r="B37" s="442" t="n"/>
      <c r="C37" s="474" t="n"/>
      <c r="D37" s="442" t="n"/>
      <c r="E37" s="474" t="n"/>
      <c r="F37" s="441" t="n"/>
      <c r="G37" s="932" t="n"/>
      <c r="H37" s="442" t="n"/>
      <c r="I37" s="474" t="n"/>
      <c r="J37" s="442" t="n"/>
      <c r="K37" s="474" t="n"/>
      <c r="L37" s="442" t="n"/>
    </row>
    <row r="38">
      <c r="A38" s="928" t="inlineStr">
        <is>
          <t xml:space="preserve"> </t>
        </is>
      </c>
      <c r="B38" s="859" t="n"/>
      <c r="C38" s="928" t="inlineStr">
        <is>
          <t xml:space="preserve"> </t>
        </is>
      </c>
      <c r="D38" s="859" t="n"/>
      <c r="E38" s="929" t="inlineStr">
        <is>
          <t xml:space="preserve"> </t>
        </is>
      </c>
      <c r="F38" s="437" t="n"/>
      <c r="G38" s="933" t="inlineStr">
        <is>
          <t xml:space="preserve"> </t>
        </is>
      </c>
      <c r="H38" s="859" t="n"/>
      <c r="I38" s="928" t="inlineStr">
        <is>
          <t xml:space="preserve"> </t>
        </is>
      </c>
      <c r="J38" s="859" t="n"/>
      <c r="K38" s="928" t="inlineStr">
        <is>
          <t xml:space="preserve"> </t>
        </is>
      </c>
      <c r="L38" s="859" t="n"/>
    </row>
    <row r="39">
      <c r="A39" s="474" t="n"/>
      <c r="B39" s="442" t="n"/>
      <c r="C39" s="474" t="n"/>
      <c r="D39" s="442" t="n"/>
      <c r="E39" s="474" t="n"/>
      <c r="F39" s="441" t="n"/>
      <c r="G39" s="932" t="n"/>
      <c r="H39" s="442" t="n"/>
      <c r="I39" s="474" t="n"/>
      <c r="J39" s="442" t="n"/>
      <c r="K39" s="474" t="n"/>
      <c r="L39" s="442" t="n"/>
    </row>
    <row r="40">
      <c r="A40" s="928" t="inlineStr">
        <is>
          <t xml:space="preserve"> </t>
        </is>
      </c>
      <c r="B40" s="859" t="n"/>
      <c r="C40" s="928" t="inlineStr">
        <is>
          <t xml:space="preserve"> </t>
        </is>
      </c>
      <c r="D40" s="859" t="n"/>
      <c r="E40" s="929" t="inlineStr">
        <is>
          <t xml:space="preserve"> </t>
        </is>
      </c>
      <c r="F40" s="437" t="n"/>
      <c r="G40" s="933" t="inlineStr">
        <is>
          <t xml:space="preserve"> </t>
        </is>
      </c>
      <c r="H40" s="859" t="n"/>
      <c r="I40" s="928" t="inlineStr">
        <is>
          <t xml:space="preserve"> </t>
        </is>
      </c>
      <c r="J40" s="859" t="n"/>
      <c r="K40" s="928" t="inlineStr">
        <is>
          <t xml:space="preserve"> </t>
        </is>
      </c>
      <c r="L40" s="859" t="n"/>
    </row>
    <row r="41">
      <c r="A41" s="474" t="n"/>
      <c r="B41" s="442" t="n"/>
      <c r="C41" s="474" t="n"/>
      <c r="D41" s="442" t="n"/>
      <c r="E41" s="474" t="n"/>
      <c r="F41" s="441" t="n"/>
      <c r="G41" s="932" t="n"/>
      <c r="H41" s="442" t="n"/>
      <c r="I41" s="474" t="n"/>
      <c r="J41" s="442" t="n"/>
      <c r="K41" s="474" t="n"/>
      <c r="L41" s="442" t="n"/>
    </row>
    <row r="42">
      <c r="A42" s="928" t="inlineStr">
        <is>
          <t xml:space="preserve"> </t>
        </is>
      </c>
      <c r="B42" s="859" t="n"/>
      <c r="C42" s="928" t="inlineStr">
        <is>
          <t xml:space="preserve"> </t>
        </is>
      </c>
      <c r="D42" s="859" t="n"/>
      <c r="E42" s="929" t="inlineStr">
        <is>
          <t xml:space="preserve"> </t>
        </is>
      </c>
      <c r="F42" s="437" t="n"/>
      <c r="G42" s="933" t="inlineStr">
        <is>
          <t xml:space="preserve"> </t>
        </is>
      </c>
      <c r="H42" s="859" t="n"/>
      <c r="I42" s="928" t="inlineStr">
        <is>
          <t xml:space="preserve"> </t>
        </is>
      </c>
      <c r="J42" s="859" t="n"/>
      <c r="K42" s="928" t="inlineStr">
        <is>
          <t xml:space="preserve"> </t>
        </is>
      </c>
      <c r="L42" s="859" t="n"/>
    </row>
    <row r="43">
      <c r="A43" s="474" t="n"/>
      <c r="B43" s="442" t="n"/>
      <c r="C43" s="474" t="n"/>
      <c r="D43" s="442" t="n"/>
      <c r="E43" s="474" t="n"/>
      <c r="F43" s="441" t="n"/>
      <c r="G43" s="932" t="n"/>
      <c r="H43" s="442" t="n"/>
      <c r="I43" s="474" t="n"/>
      <c r="J43" s="442" t="n"/>
      <c r="K43" s="474" t="n"/>
      <c r="L43" s="442" t="n"/>
    </row>
    <row r="44">
      <c r="A44" s="928" t="inlineStr">
        <is>
          <t xml:space="preserve"> </t>
        </is>
      </c>
      <c r="B44" s="859" t="n"/>
      <c r="C44" s="928" t="inlineStr">
        <is>
          <t xml:space="preserve"> </t>
        </is>
      </c>
      <c r="D44" s="859" t="n"/>
      <c r="E44" s="929" t="inlineStr">
        <is>
          <t xml:space="preserve"> </t>
        </is>
      </c>
      <c r="F44" s="437" t="n"/>
      <c r="G44" s="933" t="inlineStr">
        <is>
          <t xml:space="preserve"> </t>
        </is>
      </c>
      <c r="H44" s="859" t="n"/>
      <c r="I44" s="928" t="inlineStr">
        <is>
          <t xml:space="preserve"> </t>
        </is>
      </c>
      <c r="J44" s="859" t="n"/>
      <c r="K44" s="928" t="inlineStr">
        <is>
          <t xml:space="preserve"> </t>
        </is>
      </c>
      <c r="L44" s="859" t="n"/>
    </row>
    <row r="45">
      <c r="A45" s="474" t="n"/>
      <c r="B45" s="442" t="n"/>
      <c r="C45" s="474" t="n"/>
      <c r="D45" s="442" t="n"/>
      <c r="E45" s="474" t="n"/>
      <c r="F45" s="441" t="n"/>
      <c r="G45" s="932" t="n"/>
      <c r="H45" s="442" t="n"/>
      <c r="I45" s="474" t="n"/>
      <c r="J45" s="442" t="n"/>
      <c r="K45" s="474" t="n"/>
      <c r="L45" s="442" t="n"/>
    </row>
    <row r="46">
      <c r="A46" s="928" t="inlineStr">
        <is>
          <t xml:space="preserve"> </t>
        </is>
      </c>
      <c r="B46" s="859" t="n"/>
      <c r="C46" s="928" t="inlineStr">
        <is>
          <t xml:space="preserve"> </t>
        </is>
      </c>
      <c r="D46" s="859" t="n"/>
      <c r="E46" s="929" t="inlineStr">
        <is>
          <t xml:space="preserve"> </t>
        </is>
      </c>
      <c r="F46" s="437" t="n"/>
      <c r="G46" s="933" t="inlineStr">
        <is>
          <t xml:space="preserve"> </t>
        </is>
      </c>
      <c r="H46" s="859" t="n"/>
      <c r="I46" s="928" t="inlineStr">
        <is>
          <t xml:space="preserve"> </t>
        </is>
      </c>
      <c r="J46" s="859" t="n"/>
      <c r="K46" s="928" t="inlineStr">
        <is>
          <t xml:space="preserve"> </t>
        </is>
      </c>
      <c r="L46" s="859" t="n"/>
    </row>
    <row r="47">
      <c r="A47" s="474" t="n"/>
      <c r="B47" s="442" t="n"/>
      <c r="C47" s="474" t="n"/>
      <c r="D47" s="442" t="n"/>
      <c r="E47" s="474" t="n"/>
      <c r="F47" s="441" t="n"/>
      <c r="G47" s="932" t="n"/>
      <c r="H47" s="442" t="n"/>
      <c r="I47" s="474" t="n"/>
      <c r="J47" s="442" t="n"/>
      <c r="K47" s="474" t="n"/>
      <c r="L47" s="442" t="n"/>
    </row>
    <row r="48">
      <c r="A48" s="928" t="inlineStr">
        <is>
          <t xml:space="preserve"> </t>
        </is>
      </c>
      <c r="B48" s="859" t="n"/>
      <c r="C48" s="928" t="inlineStr">
        <is>
          <t xml:space="preserve"> </t>
        </is>
      </c>
      <c r="D48" s="859" t="n"/>
      <c r="E48" s="929" t="inlineStr">
        <is>
          <t xml:space="preserve"> </t>
        </is>
      </c>
      <c r="F48" s="437" t="n"/>
      <c r="G48" s="933" t="inlineStr">
        <is>
          <t xml:space="preserve"> </t>
        </is>
      </c>
      <c r="H48" s="859" t="n"/>
      <c r="I48" s="928" t="inlineStr">
        <is>
          <t xml:space="preserve"> </t>
        </is>
      </c>
      <c r="J48" s="859" t="n"/>
      <c r="K48" s="928" t="inlineStr">
        <is>
          <t xml:space="preserve"> </t>
        </is>
      </c>
      <c r="L48" s="859" t="n"/>
    </row>
    <row r="49">
      <c r="A49" s="474" t="n"/>
      <c r="B49" s="442" t="n"/>
      <c r="C49" s="474" t="n"/>
      <c r="D49" s="442" t="n"/>
      <c r="E49" s="474" t="n"/>
      <c r="F49" s="441" t="n"/>
      <c r="G49" s="932" t="n"/>
      <c r="H49" s="442" t="n"/>
      <c r="I49" s="474" t="n"/>
      <c r="J49" s="442" t="n"/>
      <c r="K49" s="474" t="n"/>
      <c r="L49" s="442" t="n"/>
    </row>
    <row r="50">
      <c r="A50" s="928" t="inlineStr">
        <is>
          <t xml:space="preserve"> </t>
        </is>
      </c>
      <c r="B50" s="859" t="n"/>
      <c r="C50" s="928" t="inlineStr">
        <is>
          <t xml:space="preserve"> </t>
        </is>
      </c>
      <c r="D50" s="859" t="n"/>
      <c r="E50" s="929" t="inlineStr">
        <is>
          <t xml:space="preserve"> </t>
        </is>
      </c>
      <c r="F50" s="437" t="n"/>
      <c r="G50" s="933" t="inlineStr">
        <is>
          <t xml:space="preserve"> </t>
        </is>
      </c>
      <c r="H50" s="859" t="n"/>
      <c r="I50" s="928" t="inlineStr">
        <is>
          <t xml:space="preserve"> </t>
        </is>
      </c>
      <c r="J50" s="859" t="n"/>
      <c r="K50" s="928" t="inlineStr">
        <is>
          <t xml:space="preserve"> </t>
        </is>
      </c>
      <c r="L50" s="859" t="n"/>
    </row>
    <row r="51">
      <c r="A51" s="474" t="n"/>
      <c r="B51" s="442" t="n"/>
      <c r="C51" s="474" t="n"/>
      <c r="D51" s="442" t="n"/>
      <c r="E51" s="474" t="n"/>
      <c r="F51" s="441" t="n"/>
      <c r="G51" s="932" t="n"/>
      <c r="H51" s="442" t="n"/>
      <c r="I51" s="474" t="n"/>
      <c r="J51" s="442" t="n"/>
      <c r="K51" s="474" t="n"/>
      <c r="L51" s="442" t="n"/>
    </row>
    <row r="52">
      <c r="A52" s="928" t="inlineStr">
        <is>
          <t xml:space="preserve"> </t>
        </is>
      </c>
      <c r="B52" s="859" t="n"/>
      <c r="C52" s="928" t="inlineStr">
        <is>
          <t xml:space="preserve"> </t>
        </is>
      </c>
      <c r="D52" s="859" t="n"/>
      <c r="E52" s="929" t="inlineStr">
        <is>
          <t xml:space="preserve"> </t>
        </is>
      </c>
      <c r="F52" s="437" t="n"/>
      <c r="G52" s="933" t="inlineStr">
        <is>
          <t xml:space="preserve"> </t>
        </is>
      </c>
      <c r="H52" s="859" t="n"/>
      <c r="I52" s="928" t="inlineStr">
        <is>
          <t xml:space="preserve"> </t>
        </is>
      </c>
      <c r="J52" s="859" t="n"/>
      <c r="K52" s="928" t="inlineStr">
        <is>
          <t xml:space="preserve"> </t>
        </is>
      </c>
      <c r="L52" s="859" t="n"/>
    </row>
    <row r="53">
      <c r="A53" s="474" t="n"/>
      <c r="B53" s="442" t="n"/>
      <c r="C53" s="474" t="n"/>
      <c r="D53" s="442" t="n"/>
      <c r="E53" s="474" t="n"/>
      <c r="F53" s="441" t="n"/>
      <c r="G53" s="932" t="n"/>
      <c r="H53" s="442" t="n"/>
      <c r="I53" s="474" t="n"/>
      <c r="J53" s="442" t="n"/>
      <c r="K53" s="474" t="n"/>
      <c r="L53" s="442" t="n"/>
    </row>
  </sheetData>
  <sheetProtection selectLockedCells="0" selectUnlockedCells="0" sheet="1" objects="1" insertRows="1" insertHyperlinks="1" autoFilter="1" scenarios="1" formatColumns="1" deleteColumns="1" insertColumns="1" pivotTables="1" deleteRows="1" formatCells="1" formatRows="1" sort="1"/>
  <mergeCells count="128">
    <mergeCell ref="A52:B53"/>
    <mergeCell ref="C52:D53"/>
    <mergeCell ref="E52:F53"/>
    <mergeCell ref="G52:H53"/>
    <mergeCell ref="I52:J53"/>
    <mergeCell ref="K52:L53"/>
    <mergeCell ref="A50:B51"/>
    <mergeCell ref="C50:D51"/>
    <mergeCell ref="E50:F51"/>
    <mergeCell ref="G50:H51"/>
    <mergeCell ref="I50:J51"/>
    <mergeCell ref="K50:L51"/>
    <mergeCell ref="A48:B49"/>
    <mergeCell ref="C48:D49"/>
    <mergeCell ref="E48:F49"/>
    <mergeCell ref="G48:H49"/>
    <mergeCell ref="I48:J49"/>
    <mergeCell ref="K48:L49"/>
    <mergeCell ref="A46:B47"/>
    <mergeCell ref="C46:D47"/>
    <mergeCell ref="E46:F47"/>
    <mergeCell ref="G46:H47"/>
    <mergeCell ref="I46:J47"/>
    <mergeCell ref="K46:L47"/>
    <mergeCell ref="A44:B45"/>
    <mergeCell ref="C44:D45"/>
    <mergeCell ref="E44:F45"/>
    <mergeCell ref="G44:H45"/>
    <mergeCell ref="I44:J45"/>
    <mergeCell ref="K44:L45"/>
    <mergeCell ref="A42:B43"/>
    <mergeCell ref="C42:D43"/>
    <mergeCell ref="E42:F43"/>
    <mergeCell ref="G42:H43"/>
    <mergeCell ref="I42:J43"/>
    <mergeCell ref="K42:L43"/>
    <mergeCell ref="A40:B41"/>
    <mergeCell ref="C40:D41"/>
    <mergeCell ref="E40:F41"/>
    <mergeCell ref="G40:H41"/>
    <mergeCell ref="I40:J41"/>
    <mergeCell ref="K40:L41"/>
    <mergeCell ref="A38:B39"/>
    <mergeCell ref="C38:D39"/>
    <mergeCell ref="E38:F39"/>
    <mergeCell ref="G38:H39"/>
    <mergeCell ref="I38:J39"/>
    <mergeCell ref="K38:L39"/>
    <mergeCell ref="A36:B37"/>
    <mergeCell ref="C36:D37"/>
    <mergeCell ref="E36:F37"/>
    <mergeCell ref="G36:H37"/>
    <mergeCell ref="I36:J37"/>
    <mergeCell ref="K36:L37"/>
    <mergeCell ref="A34:B35"/>
    <mergeCell ref="C34:D35"/>
    <mergeCell ref="E34:F35"/>
    <mergeCell ref="G34:H35"/>
    <mergeCell ref="I34:J35"/>
    <mergeCell ref="K34:L35"/>
    <mergeCell ref="A32:B33"/>
    <mergeCell ref="C32:D33"/>
    <mergeCell ref="E32:F33"/>
    <mergeCell ref="G32:H33"/>
    <mergeCell ref="I32:J33"/>
    <mergeCell ref="K32:L33"/>
    <mergeCell ref="A30:B31"/>
    <mergeCell ref="C30:D31"/>
    <mergeCell ref="E30:F31"/>
    <mergeCell ref="G30:H31"/>
    <mergeCell ref="I30:J31"/>
    <mergeCell ref="K30:L31"/>
    <mergeCell ref="A28:B29"/>
    <mergeCell ref="C28:D29"/>
    <mergeCell ref="E28:F29"/>
    <mergeCell ref="G28:H29"/>
    <mergeCell ref="I28:J29"/>
    <mergeCell ref="K28:L29"/>
    <mergeCell ref="A26:B27"/>
    <mergeCell ref="C26:D27"/>
    <mergeCell ref="E26:F27"/>
    <mergeCell ref="G26:H27"/>
    <mergeCell ref="I26:J27"/>
    <mergeCell ref="K26:L27"/>
    <mergeCell ref="A24:B25"/>
    <mergeCell ref="C24:D25"/>
    <mergeCell ref="E24:F25"/>
    <mergeCell ref="G24:H25"/>
    <mergeCell ref="I24:J25"/>
    <mergeCell ref="K24:L25"/>
    <mergeCell ref="A22:B23"/>
    <mergeCell ref="C22:D23"/>
    <mergeCell ref="E22:F23"/>
    <mergeCell ref="G22:H23"/>
    <mergeCell ref="I22:J23"/>
    <mergeCell ref="K22:L23"/>
    <mergeCell ref="A13:E14"/>
    <mergeCell ref="F13:L15"/>
    <mergeCell ref="A15:E18"/>
    <mergeCell ref="F16:L18"/>
    <mergeCell ref="A20:B21"/>
    <mergeCell ref="C20:D21"/>
    <mergeCell ref="E20:F21"/>
    <mergeCell ref="G20:H21"/>
    <mergeCell ref="I20:J21"/>
    <mergeCell ref="K20:L21"/>
    <mergeCell ref="A9:E11"/>
    <mergeCell ref="F9:L10"/>
    <mergeCell ref="F11:L12"/>
    <mergeCell ref="A12:E12"/>
    <mergeCell ref="A4:B4"/>
    <mergeCell ref="C4:G4"/>
    <mergeCell ref="H4:I4"/>
    <mergeCell ref="J4:L4"/>
    <mergeCell ref="A5:B5"/>
    <mergeCell ref="D5:E5"/>
    <mergeCell ref="F5:G5"/>
    <mergeCell ref="H5:I5"/>
    <mergeCell ref="J5:L5"/>
    <mergeCell ref="A1:A2"/>
    <mergeCell ref="B1:D1"/>
    <mergeCell ref="F1:I1"/>
    <mergeCell ref="J1:L1"/>
    <mergeCell ref="B2:D2"/>
    <mergeCell ref="E2:F2"/>
    <mergeCell ref="G2:L2"/>
    <mergeCell ref="A8:E8"/>
    <mergeCell ref="F8:L8"/>
  </mergeCells>
  <pageMargins left="0.33" right="0" top="0.3" bottom="0.3" header="0.25" footer="0.25"/>
  <pageSetup orientation="portrait" scale="89"/>
  <headerFooter alignWithMargins="0">
    <oddHeader/>
    <oddFooter>&amp;LNETWORK ADDRESS:  MPCI data\Forms\_x000a_Production_ Operation forms&amp;C                           &amp;RRETENTION REQUIREMENT:  Maintained with the _x000a_Job Packet for 3 years</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xmlns:dc="http://purl.org/dc/elements/1.1/" xmlns:dcterms="http://purl.org/dc/terms/" xmlns:xsi="http://www.w3.org/2001/XMLSchema-instance">
  <dc:creator>Jay Hermans</dc:creator>
  <dcterms:created xsi:type="dcterms:W3CDTF">2005-10-24T20:51:49Z</dcterms:created>
  <dcterms:modified xsi:type="dcterms:W3CDTF">2023-02-18T19:01:39Z</dcterms:modified>
  <cp:lastModifiedBy>Haidar</cp:lastModifiedBy>
  <cp:lastPrinted>2023-02-04T23:18:25Z</cp:lastPrinted>
</cp:coreProperties>
</file>